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pfbou.sharepoint.com/sites/HR_Administration/Shared Documents/HCA3 - Procurement and Disposal/PROC &amp; DISP PLANS/2026-27/"/>
    </mc:Choice>
  </mc:AlternateContent>
  <xr:revisionPtr revIDLastSave="243" documentId="8_{6D389DED-3DB6-4EBA-AE65-CF493740E8AB}" xr6:coauthVersionLast="47" xr6:coauthVersionMax="47" xr10:uidLastSave="{74B3AA66-13E0-49C3-AD93-6B8F35637B02}"/>
  <bookViews>
    <workbookView xWindow="28680" yWindow="-120" windowWidth="29040" windowHeight="15720" tabRatio="581" xr2:uid="{AB743EAB-7134-8C40-A010-7AD1AFA7A607}"/>
  </bookViews>
  <sheets>
    <sheet name="SUPS-WRKS-NCONS" sheetId="1" r:id="rId1"/>
    <sheet name="Consultancy" sheetId="2" r:id="rId2"/>
    <sheet name="User guiding notes" sheetId="5"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8" i="2" l="1"/>
  <c r="D14" i="1"/>
  <c r="D15" i="1"/>
  <c r="D16" i="1"/>
  <c r="D17" i="1"/>
  <c r="D35" i="1"/>
  <c r="D19" i="1"/>
  <c r="D32" i="1"/>
  <c r="D29" i="1"/>
  <c r="D27" i="1"/>
  <c r="D26" i="1"/>
  <c r="D23" i="1"/>
  <c r="D22" i="1"/>
  <c r="D21" i="1"/>
  <c r="D49" i="1"/>
  <c r="Y13" i="2"/>
  <c r="T13" i="2"/>
  <c r="U13" i="2"/>
  <c r="V13" i="2"/>
  <c r="W13" i="2"/>
  <c r="W12" i="2"/>
  <c r="W17" i="2"/>
  <c r="V17" i="2"/>
  <c r="U17" i="2"/>
  <c r="T17" i="2"/>
  <c r="Y17" i="2"/>
  <c r="W11" i="2"/>
  <c r="V11" i="2"/>
  <c r="U11" i="2"/>
  <c r="V12" i="2"/>
  <c r="U12" i="2"/>
  <c r="W14" i="2"/>
  <c r="V14" i="2"/>
  <c r="U14" i="2"/>
  <c r="W15" i="2"/>
  <c r="V15" i="2"/>
  <c r="U15" i="2"/>
  <c r="W16" i="2"/>
  <c r="V16" i="2"/>
  <c r="U16" i="2"/>
  <c r="Y16" i="2"/>
  <c r="T16" i="2"/>
  <c r="Y15" i="2"/>
  <c r="T15" i="2"/>
  <c r="Y14" i="2"/>
  <c r="T14" i="2"/>
  <c r="Y12" i="2"/>
  <c r="T12" i="2"/>
  <c r="Y11" i="2"/>
  <c r="T11" i="2"/>
  <c r="V48" i="1"/>
  <c r="R48" i="1"/>
  <c r="Q48" i="1"/>
  <c r="V47" i="1"/>
  <c r="R47" i="1"/>
  <c r="Q47" i="1"/>
  <c r="V46" i="1"/>
  <c r="R46" i="1"/>
  <c r="Q46" i="1"/>
  <c r="V45" i="1"/>
  <c r="R45" i="1"/>
  <c r="Q45" i="1"/>
  <c r="V44" i="1"/>
  <c r="R44" i="1"/>
  <c r="Q44" i="1"/>
  <c r="V43" i="1"/>
  <c r="R43" i="1"/>
  <c r="Q43" i="1"/>
  <c r="V42" i="1"/>
  <c r="R42" i="1"/>
  <c r="Q42" i="1"/>
  <c r="V41" i="1"/>
  <c r="R41" i="1"/>
  <c r="Q41" i="1"/>
  <c r="V40" i="1"/>
  <c r="T40" i="1"/>
  <c r="S40" i="1"/>
  <c r="R40" i="1"/>
  <c r="Q40" i="1"/>
  <c r="V39" i="1"/>
  <c r="T39" i="1"/>
  <c r="S39" i="1"/>
  <c r="R39" i="1"/>
  <c r="Q39" i="1"/>
  <c r="V38" i="1"/>
  <c r="T38" i="1"/>
  <c r="S38" i="1"/>
  <c r="R38" i="1"/>
  <c r="Q38" i="1"/>
  <c r="V37" i="1"/>
  <c r="T37" i="1"/>
  <c r="S37" i="1"/>
  <c r="R37" i="1"/>
  <c r="Q37" i="1"/>
  <c r="V36" i="1"/>
  <c r="T36" i="1"/>
  <c r="S36" i="1"/>
  <c r="R36" i="1"/>
  <c r="Q36" i="1"/>
  <c r="V35" i="1"/>
  <c r="T35" i="1"/>
  <c r="S35" i="1"/>
  <c r="R35" i="1"/>
  <c r="Q35" i="1"/>
  <c r="V34" i="1"/>
  <c r="T34" i="1"/>
  <c r="S34" i="1"/>
  <c r="R34" i="1"/>
  <c r="Q34" i="1"/>
  <c r="V19" i="1"/>
  <c r="T19" i="1"/>
  <c r="S19" i="1"/>
  <c r="R19" i="1"/>
  <c r="Q19" i="1"/>
  <c r="V33" i="1"/>
  <c r="T33" i="1"/>
  <c r="S33" i="1"/>
  <c r="R33" i="1"/>
  <c r="Q33" i="1"/>
  <c r="V32" i="1"/>
  <c r="T32" i="1"/>
  <c r="S32" i="1"/>
  <c r="R32" i="1"/>
  <c r="Q32" i="1"/>
  <c r="V31" i="1"/>
  <c r="T31" i="1"/>
  <c r="S31" i="1"/>
  <c r="R31" i="1"/>
  <c r="Q31" i="1"/>
  <c r="V30" i="1"/>
  <c r="T30" i="1"/>
  <c r="S30" i="1"/>
  <c r="R30" i="1"/>
  <c r="Q30" i="1"/>
  <c r="V29" i="1"/>
  <c r="T29" i="1"/>
  <c r="S29" i="1"/>
  <c r="R29" i="1"/>
  <c r="Q29" i="1"/>
  <c r="V28" i="1"/>
  <c r="T28" i="1"/>
  <c r="S28" i="1"/>
  <c r="R28" i="1"/>
  <c r="Q28" i="1"/>
  <c r="V27" i="1"/>
  <c r="T27" i="1"/>
  <c r="S27" i="1"/>
  <c r="R27" i="1"/>
  <c r="Q27" i="1"/>
  <c r="V26" i="1"/>
  <c r="T26" i="1"/>
  <c r="S26" i="1"/>
  <c r="R26" i="1"/>
  <c r="Q26" i="1"/>
  <c r="V25" i="1"/>
  <c r="T25" i="1"/>
  <c r="S25" i="1"/>
  <c r="R25" i="1"/>
  <c r="Q25" i="1"/>
  <c r="V24" i="1"/>
  <c r="T24" i="1"/>
  <c r="S24" i="1"/>
  <c r="R24" i="1"/>
  <c r="Q24" i="1"/>
  <c r="V23" i="1"/>
  <c r="T23" i="1"/>
  <c r="S23" i="1"/>
  <c r="R23" i="1"/>
  <c r="Q23" i="1"/>
  <c r="V22" i="1"/>
  <c r="T22" i="1"/>
  <c r="S22" i="1"/>
  <c r="R22" i="1"/>
  <c r="Q22" i="1"/>
  <c r="V21" i="1"/>
  <c r="T21" i="1"/>
  <c r="S21" i="1"/>
  <c r="R21" i="1"/>
  <c r="Q21" i="1"/>
  <c r="V20" i="1"/>
  <c r="T20" i="1"/>
  <c r="S20" i="1"/>
  <c r="R20" i="1"/>
  <c r="Q20" i="1"/>
  <c r="V18" i="1"/>
  <c r="T18" i="1"/>
  <c r="S18" i="1"/>
  <c r="R18" i="1"/>
  <c r="Q18" i="1"/>
  <c r="V17" i="1"/>
  <c r="T17" i="1"/>
  <c r="S17" i="1"/>
  <c r="R17" i="1"/>
  <c r="Q17" i="1"/>
  <c r="V16" i="1"/>
  <c r="T16" i="1"/>
  <c r="S16" i="1"/>
  <c r="R16" i="1"/>
  <c r="Q16" i="1"/>
  <c r="V15" i="1"/>
  <c r="T15" i="1"/>
  <c r="S15" i="1"/>
  <c r="R15" i="1"/>
  <c r="Q15" i="1"/>
  <c r="V14" i="1"/>
  <c r="T14" i="1"/>
  <c r="S14" i="1"/>
  <c r="R14" i="1"/>
  <c r="Q14" i="1"/>
  <c r="V13" i="1"/>
  <c r="T13" i="1"/>
  <c r="S13" i="1"/>
  <c r="R13" i="1"/>
  <c r="Q13" i="1"/>
  <c r="V12" i="1"/>
  <c r="T12" i="1"/>
  <c r="S12" i="1"/>
  <c r="R12" i="1"/>
  <c r="Q12" i="1"/>
</calcChain>
</file>

<file path=xl/sharedStrings.xml><?xml version="1.0" encoding="utf-8"?>
<sst xmlns="http://schemas.openxmlformats.org/spreadsheetml/2006/main" count="553" uniqueCount="161">
  <si>
    <t xml:space="preserve"> S/No </t>
  </si>
  <si>
    <t xml:space="preserve">Request for Expression of Interest
</t>
  </si>
  <si>
    <t>Invitation of proposals and approval for award</t>
  </si>
  <si>
    <t>INVITATION AND AWARD OF BIDS</t>
  </si>
  <si>
    <t>Date:</t>
  </si>
  <si>
    <t>Designation:</t>
  </si>
  <si>
    <t>Name</t>
  </si>
  <si>
    <t>Name:</t>
  </si>
  <si>
    <t>Signature:</t>
  </si>
  <si>
    <t>Approved by</t>
  </si>
  <si>
    <t>Prepared by</t>
  </si>
  <si>
    <t>Subject of procurement</t>
  </si>
  <si>
    <t>Source of funding</t>
  </si>
  <si>
    <t>Procurement method</t>
  </si>
  <si>
    <t>Contract
type</t>
  </si>
  <si>
    <t>Invitation of Expressions of Interest date</t>
  </si>
  <si>
    <t>Closing-Opening date</t>
  </si>
  <si>
    <t>Approval of shortlist</t>
  </si>
  <si>
    <t>Notification date</t>
  </si>
  <si>
    <t xml:space="preserve">Invitation of proposals   date 
</t>
  </si>
  <si>
    <t>Submission/
opening
date</t>
  </si>
  <si>
    <t xml:space="preserve">Approval of final evaluation report </t>
  </si>
  <si>
    <t>Contract signing date</t>
  </si>
  <si>
    <t>Completion date</t>
  </si>
  <si>
    <t>Bid invitation date</t>
  </si>
  <si>
    <t>Award notification date</t>
  </si>
  <si>
    <t xml:space="preserve">Subject of procurement </t>
  </si>
  <si>
    <t xml:space="preserve">Estimated cost </t>
  </si>
  <si>
    <t>PROCUREMENT PLAN FOR CONSULTANCY SERVICES - FOR SUBMISSION TO THE SECRETARY TO TREASURY, PPDA  AND PUBLICATION</t>
  </si>
  <si>
    <t>PROCUREMENT PLAN FOR GOODS, WORKS AND NON CONSULTANCY SERVICES - FOR SUBMISSION TO TREASURY, PPDA and PUBLICATION</t>
  </si>
  <si>
    <t>Bid closing/ Opening date</t>
  </si>
  <si>
    <t xml:space="preserve">Approval
evaluation report date
</t>
  </si>
  <si>
    <t>Contract Type</t>
  </si>
  <si>
    <t>Head PDU</t>
  </si>
  <si>
    <t>Accounting Officer</t>
  </si>
  <si>
    <t xml:space="preserve">Currency </t>
  </si>
  <si>
    <t>PRE-QUALIFICATION (Yes or No)</t>
  </si>
  <si>
    <t>Apply Reservation Scheme (Yes/No)</t>
  </si>
  <si>
    <t>Apply Reservation Scheme: Local Providers, Special Interest Groups</t>
  </si>
  <si>
    <t>Apply Reservation Scheme (Local Providers, Special Interest Groups)</t>
  </si>
  <si>
    <t>Projected completion time (in years)</t>
  </si>
  <si>
    <t>Current year's estimated cost</t>
  </si>
  <si>
    <t>Paid up sum</t>
  </si>
  <si>
    <t>Pending sum</t>
  </si>
  <si>
    <t>Pending time to completion</t>
  </si>
  <si>
    <t>Multi-year procurement (where applicable)</t>
  </si>
  <si>
    <t>Note 1</t>
  </si>
  <si>
    <t>Note 2</t>
  </si>
  <si>
    <t>The templates for internal use are for the PDU's tracking purposes and should not be submitted</t>
  </si>
  <si>
    <t>The approved plan should be submitted to the Treasury, PPDA and published by 31st July</t>
  </si>
  <si>
    <t>Where they have been used, the following abbreviations stand for;</t>
  </si>
  <si>
    <t>PDU - Procurement and Disposal Unit</t>
  </si>
  <si>
    <t>SUPS - Supplies</t>
  </si>
  <si>
    <t>CONS - Consultancy Services</t>
  </si>
  <si>
    <t>WRKS -Works</t>
  </si>
  <si>
    <t>Note 3</t>
  </si>
  <si>
    <t>Note 4</t>
  </si>
  <si>
    <t>Note 5</t>
  </si>
  <si>
    <t>compliance@ppda.go.ug</t>
  </si>
  <si>
    <t>or call 0414311100</t>
  </si>
  <si>
    <t>FY - Financial Year</t>
  </si>
  <si>
    <t>For any clarification about the plan template or related issues reach out on;</t>
  </si>
  <si>
    <t>The multi-year procurement field should only be used for procurements whose projected completion time is to exceed one FY. And where the contract is in its subsequent years of implementation, the plan should be completed to indicate the completed and pending time/funding to contract completion.</t>
  </si>
  <si>
    <t>NCONS - Non-consultancy Services</t>
  </si>
  <si>
    <t>Note 6</t>
  </si>
  <si>
    <t>There are 2 templates, the first being for supplies, works, non-consultancy services and the second being for consultancy services. All fields in the templates to be submitted should be accurately completed</t>
  </si>
  <si>
    <t>This template should be used in line with Sections 34(2), 58 of the PPDA Act and the PPDA (Procurement Planning) Regulations, 2023</t>
  </si>
  <si>
    <t>Procurement Type</t>
  </si>
  <si>
    <t>Procurement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</si>
  <si>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</si>
  <si>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</si>
  <si>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</si>
  <si>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</si>
  <si>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</si>
  <si>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</si>
  <si>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</si>
  <si>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</si>
  <si>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</si>
  <si>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</si>
  <si>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</si>
  <si>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</si>
  <si>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</si>
  <si>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</si>
  <si>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</si>
  <si>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</si>
  <si>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</si>
  <si>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</si>
  <si>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</si>
  <si>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</si>
  <si>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</si>
  <si>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</si>
  <si>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</si>
  <si>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</si>
  <si>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</si>
  <si>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UGX</t>
  </si>
  <si>
    <t>Gift hampers for the Fund's Stakeholders</t>
  </si>
  <si>
    <t>Designing, review and printing of the Annual Report for FY2024-2025</t>
  </si>
  <si>
    <t>DPF Logo for level 6</t>
  </si>
  <si>
    <t xml:space="preserve">UGX </t>
  </si>
  <si>
    <t>Internally Generated Funds</t>
  </si>
  <si>
    <t>Consultancy Services</t>
  </si>
  <si>
    <t>Non-Consultancy Services</t>
  </si>
  <si>
    <t>Supplies</t>
  </si>
  <si>
    <t>Quotations Method</t>
  </si>
  <si>
    <t>Lumpsum Contracts</t>
  </si>
  <si>
    <t>Framework Contracts</t>
  </si>
  <si>
    <t>No</t>
  </si>
  <si>
    <t>Yes</t>
  </si>
  <si>
    <t>Special Interest Groups</t>
  </si>
  <si>
    <t>N/A</t>
  </si>
  <si>
    <t>Local Providers</t>
  </si>
  <si>
    <t xml:space="preserve">Procuring and Disposing Entity: DEPOST PROTECTION FUND </t>
  </si>
  <si>
    <t>Procuring and Disposing Entity: DEPOSIT PROTECTION FUND</t>
  </si>
  <si>
    <t>Financial Year: 2026-27</t>
  </si>
  <si>
    <t xml:space="preserve">Acquisition of land </t>
  </si>
  <si>
    <t xml:space="preserve">Open Domestic Bidding </t>
  </si>
  <si>
    <t>Medical Insurance Cover</t>
  </si>
  <si>
    <t>Restricted Domestic Bidding</t>
  </si>
  <si>
    <t>FortiManager VM-Central Management Annual Licenses, FortiAnalyser VM-Central Management Annual Licenses, Fortinet Endpoint Security with FortiSASE Annual Subscription, FortiSASE Secure Private Access Connector License for SD-WAN and Perimeter Firewall Licenses at HQ</t>
  </si>
  <si>
    <r>
      <t>Events production (</t>
    </r>
    <r>
      <rPr>
        <i/>
        <sz val="12"/>
        <rFont val="Book Antiqua"/>
        <family val="1"/>
      </rPr>
      <t>public baraza, higher institutions quiz &amp; DPF @ 10</t>
    </r>
    <r>
      <rPr>
        <sz val="12"/>
        <rFont val="Book Antiqua"/>
        <family val="1"/>
      </rPr>
      <t>)</t>
    </r>
  </si>
  <si>
    <t>Support and Maintenance Services for the HIA System</t>
  </si>
  <si>
    <t>Quotation</t>
  </si>
  <si>
    <t>Server equipment warranties for DELL and HPE servers, Sharepoint Server SE Licenses and Exchange Server SE Licenses and 60 User CALs</t>
  </si>
  <si>
    <t>Assorted office furniture &amp; fittings (window blinds for level 3 &amp; 6, ceiling boards &amp; balcony canopy for level 6, wall-to-wall carpet, office safe &amp; accolades cabinet)</t>
  </si>
  <si>
    <t>ZOHO ManageEngine Service Desk Plus Annual Licenses, ManageEngine Op Manager and End Point Central Annual Licenses and Adobe Software Licenses</t>
  </si>
  <si>
    <t>Primary Internet Services at the DPF HQ and DR sites</t>
  </si>
  <si>
    <t>Procurement &amp; branding of a medical incinerator for Moroto RRH (Corporate Social Investment)</t>
  </si>
  <si>
    <t>Microsoft Project Plan 3 Annual Licenses, Microsoft Visio Plan 2 Annual Licenses, Microsoft Copilot Annual Licenses and Microsoft Power BI (Developer)</t>
  </si>
  <si>
    <t>Production of DPF animated video, song and short videos for online publicity</t>
  </si>
  <si>
    <t>Billboard advertising: Digital Out-Of-Home screens (for DPF promotional Video)</t>
  </si>
  <si>
    <t>Procurement and branding of concrete garden benches for Kumi &amp; Busitema Universities</t>
  </si>
  <si>
    <t>Designing, review &amp; printing of the annual report for FY2025-2026</t>
  </si>
  <si>
    <t>Mobile phones</t>
  </si>
  <si>
    <t xml:space="preserve">Maintenance of plants for 3rd and 6th floors </t>
  </si>
  <si>
    <t>Uniform &amp; Corporate wear</t>
  </si>
  <si>
    <t>Hotel &amp; conference facilities for higher institutions quiz</t>
  </si>
  <si>
    <t>Assorted capital &amp; sundry items</t>
  </si>
  <si>
    <t>Asset tagging</t>
  </si>
  <si>
    <t>Micro</t>
  </si>
  <si>
    <t>Board courtesies</t>
  </si>
  <si>
    <t xml:space="preserve">Micro </t>
  </si>
  <si>
    <t>Website Plugins</t>
  </si>
  <si>
    <t>Maintenance Services for PABX Equipment</t>
  </si>
  <si>
    <r>
      <t xml:space="preserve">Courier Services </t>
    </r>
    <r>
      <rPr>
        <i/>
        <sz val="11"/>
        <rFont val="Book Antiqua"/>
        <family val="1"/>
      </rPr>
      <t>(distribution of gift hampers)</t>
    </r>
  </si>
  <si>
    <t>Password Manager</t>
  </si>
  <si>
    <t>Translations of DPF Frequently Asked Questions (FAQs) into 5 languages</t>
  </si>
  <si>
    <t>DPPS enhancements</t>
  </si>
  <si>
    <t>Consultancy for the development project &amp; Cost Manager</t>
  </si>
  <si>
    <t xml:space="preserve">Consutancy Services to conduct Vulnerability Assessment and Penetration Testing (VAPT) </t>
  </si>
  <si>
    <t>Consultancy for the DPF's ESG implementation &amp; sustainability reporting</t>
  </si>
  <si>
    <t>Consultancy for Formulation of the Strategy for 2027-2032</t>
  </si>
  <si>
    <t xml:space="preserve">Consultancy Services for External Quality Assessment to check compliance with Global International Audit Standards (GIAS) </t>
  </si>
  <si>
    <r>
      <t xml:space="preserve">Assorted IT Hardware Equipment </t>
    </r>
    <r>
      <rPr>
        <i/>
        <sz val="12"/>
        <rFont val="Book Antiqua"/>
        <family val="1"/>
      </rPr>
      <t xml:space="preserve">(Surface Pro Tablet Devices, Laptops and High-Performance Laptop) </t>
    </r>
  </si>
  <si>
    <t>Restricted Domestic Bidding (RDB)</t>
  </si>
  <si>
    <t>CCTV and Access Control system installation on Level 6</t>
  </si>
  <si>
    <t xml:space="preserve">Decoration, Photography, videography &amp; livestreaming </t>
  </si>
  <si>
    <t>Board Gifts/Souvenirs, certificates and plaques &amp; introductory pack</t>
  </si>
  <si>
    <t>Consultancy services for Board evaluation and board induction</t>
  </si>
  <si>
    <t>In-house Board training and consultancies in corporate governance</t>
  </si>
  <si>
    <r>
      <t>Design &amp; production of branded souvenir, promotional, awareness materials &amp; DPF @ 10 events (</t>
    </r>
    <r>
      <rPr>
        <i/>
        <sz val="12"/>
        <rFont val="Book Antiqua"/>
        <family val="1"/>
      </rPr>
      <t>t-shirts, executive notebooks, spiral-bound notebooks, executive pens,standard pens, wall calendars, digital desk calendars, pull-up banners, posters, stickers, brochures in different languages, podium, corporte shirts and executive gift sets</t>
    </r>
    <r>
      <rPr>
        <sz val="12"/>
        <rFont val="Book Antiqua"/>
        <family val="1"/>
      </rPr>
      <t>)</t>
    </r>
  </si>
  <si>
    <r>
      <t>Assorted stationery (</t>
    </r>
    <r>
      <rPr>
        <i/>
        <sz val="12"/>
        <rFont val="Book Antiqua"/>
        <family val="1"/>
      </rPr>
      <t>introductory Board pack, branded &amp; general office stationery</t>
    </r>
    <r>
      <rPr>
        <sz val="12"/>
        <rFont val="Book Antiqua"/>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</si>
</sst>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409]d\-mmm\-yy;@"/>
    <numFmt numFmtId="165" formatCode="_(* #,##0_);_(* \(#,##0\);_(* &quot;-&quot;??_);_(@_)"/>
  </numFmts>
  <fonts count="11" x14ac:knownFonts="1">
    <font>
      <sz val="11"/>
      <color theme="1"/>
      <name val="Calibri"/>
      <family val="2"/>
      <scheme val="minor"/>
    </font>
    <font>
      <sz val="8"/>
      <name val="Calibri"/>
      <family val="2"/>
    </font>
    <font>
      <sz val="11"/>
      <color theme="1"/>
      <name val="Calibri"/>
      <family val="2"/>
      <scheme val="minor"/>
    </font>
    <font>
      <u/>
      <sz val="11"/>
      <color theme="10"/>
      <name val="Calibri"/>
      <family val="2"/>
    </font>
    <font>
      <b/>
      <sz val="11"/>
      <color theme="1"/>
      <name val="Calibri"/>
      <family val="2"/>
      <scheme val="minor"/>
    </font>
    <font>
      <b/>
      <sz val="12"/>
      <name val="Book Antiqua"/>
      <family val="1"/>
    </font>
    <font>
      <sz val="12"/>
      <color theme="1"/>
      <name val="Book Antiqua"/>
      <family val="1"/>
    </font>
    <font>
      <sz val="12"/>
      <name val="Book Antiqua"/>
      <family val="1"/>
    </font>
    <font>
      <b/>
      <sz val="12"/>
      <color theme="1"/>
      <name val="Book Antiqua"/>
      <family val="1"/>
    </font>
    <font>
      <i/>
      <sz val="12"/>
      <name val="Book Antiqua"/>
      <family val="1"/>
    </font>
    <font>
      <i/>
      <sz val="11"/>
      <name val="Book Antiqua"/>
      <family val="1"/>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ck">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top style="thin">
        <color indexed="64"/>
      </top>
      <bottom style="thick">
        <color indexed="64"/>
      </bottom>
      <diagonal/>
    </border>
    <border>
      <left style="thin">
        <color indexed="64"/>
      </left>
      <right/>
      <top/>
      <bottom/>
      <diagonal/>
    </border>
    <border>
      <left style="thick">
        <color indexed="64"/>
      </left>
      <right/>
      <top style="thick">
        <color indexed="64"/>
      </top>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style="thick">
        <color indexed="64"/>
      </bottom>
      <diagonal/>
    </border>
    <border>
      <left/>
      <right/>
      <top style="thick">
        <color indexed="64"/>
      </top>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style="thin">
        <color indexed="64"/>
      </left>
      <right/>
      <top/>
      <bottom style="thick">
        <color indexed="64"/>
      </bottom>
      <diagonal/>
    </border>
    <border>
      <left style="thick">
        <color indexed="64"/>
      </left>
      <right style="thin">
        <color indexed="64"/>
      </right>
      <top/>
      <bottom/>
      <diagonal/>
    </border>
  </borders>
  <cellStyleXfs count="4">
    <xf numFmtId="0" fontId="0" fillId="0" borderId="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applyAlignment="0" applyProtection="0">
      <alignment vertical="top"/>
      <protection locked="0"/>
    </xf>
  </cellStyleXfs>
  <cellXfs count="197">
    <xf numFmtId="0" fontId="0" fillId="0" borderId="0" xfId="0"/>
    <xf numFmtId="0" fontId="0" fillId="2" borderId="0" xfId="0" applyFill="1"/>
    <xf numFmtId="0" fontId="4" fillId="2" borderId="8" xfId="0" applyFont="1" applyFill="1" applyBorder="1"/>
    <xf numFmtId="0" fontId="0" fillId="2" borderId="3" xfId="0" applyFill="1" applyBorder="1"/>
    <xf numFmtId="0" fontId="0" fillId="2" borderId="3" xfId="0" applyFill="1" applyBorder="1" applyAlignment="1">
      <alignment wrapText="1"/>
    </xf>
    <xf numFmtId="0" fontId="3" fillId="2" borderId="3" xfId="3" applyFill="1" applyBorder="1" applyAlignment="1" applyProtection="1"/>
    <xf numFmtId="0" fontId="0" fillId="2" borderId="4" xfId="0" applyFill="1" applyBorder="1"/>
    <xf numFmtId="0" fontId="0" fillId="2" borderId="0" xfId="0" applyFill="1" applyAlignment="1">
      <alignment wrapText="1"/>
    </xf>
    <xf numFmtId="37" fontId="5" fillId="0" borderId="1" xfId="1" applyNumberFormat="1" applyFont="1" applyFill="1" applyBorder="1" applyAlignment="1" applyProtection="1">
      <alignment horizontal="center" wrapText="1"/>
      <protection locked="0"/>
    </xf>
    <xf numFmtId="49" fontId="5" fillId="0" borderId="8" xfId="0" applyNumberFormat="1" applyFont="1" applyBorder="1" applyAlignment="1">
      <alignment horizontal="center" wrapText="1"/>
    </xf>
    <xf numFmtId="49" fontId="5" fillId="0" borderId="8" xfId="0" applyNumberFormat="1" applyFont="1" applyBorder="1" applyAlignment="1">
      <alignment wrapText="1"/>
    </xf>
    <xf numFmtId="0" fontId="6" fillId="2" borderId="28" xfId="0" applyFont="1" applyFill="1" applyBorder="1"/>
    <xf numFmtId="0" fontId="6" fillId="2" borderId="0" xfId="0" applyFont="1" applyFill="1"/>
    <xf numFmtId="0" fontId="6" fillId="2" borderId="12" xfId="0" applyFont="1" applyFill="1" applyBorder="1"/>
    <xf numFmtId="0" fontId="6" fillId="2" borderId="5" xfId="0" applyFont="1" applyFill="1" applyBorder="1"/>
    <xf numFmtId="0" fontId="6" fillId="2" borderId="13" xfId="0" applyFont="1" applyFill="1" applyBorder="1"/>
    <xf numFmtId="49" fontId="5" fillId="2" borderId="13" xfId="0" applyNumberFormat="1" applyFont="1" applyFill="1" applyBorder="1"/>
    <xf numFmtId="49" fontId="7" fillId="2" borderId="13" xfId="0" applyNumberFormat="1" applyFont="1" applyFill="1" applyBorder="1"/>
    <xf numFmtId="0" fontId="6" fillId="2" borderId="2" xfId="0" applyFont="1" applyFill="1" applyBorder="1"/>
    <xf numFmtId="0" fontId="6" fillId="0" borderId="0" xfId="0" applyFont="1"/>
    <xf numFmtId="37" fontId="7" fillId="0" borderId="1" xfId="1" applyNumberFormat="1" applyFont="1" applyFill="1" applyBorder="1" applyAlignment="1" applyProtection="1">
      <alignment wrapText="1"/>
      <protection locked="0"/>
    </xf>
    <xf numFmtId="37" fontId="7" fillId="0" borderId="4" xfId="1" applyNumberFormat="1" applyFont="1" applyFill="1" applyBorder="1" applyAlignment="1" applyProtection="1">
      <alignment wrapText="1"/>
      <protection locked="0"/>
    </xf>
    <xf numFmtId="37" fontId="7" fillId="0" borderId="1" xfId="1" applyNumberFormat="1" applyFont="1" applyFill="1" applyBorder="1" applyAlignment="1">
      <alignment wrapText="1"/>
    </xf>
    <xf numFmtId="0" fontId="6" fillId="0" borderId="16" xfId="0" applyFont="1" applyBorder="1"/>
    <xf numFmtId="0" fontId="7" fillId="0" borderId="1" xfId="0" applyFont="1" applyBorder="1" applyAlignment="1">
      <alignment horizontal="center"/>
    </xf>
    <xf numFmtId="0" fontId="6" fillId="0" borderId="1" xfId="0" applyFont="1" applyBorder="1"/>
    <xf numFmtId="0" fontId="6" fillId="2" borderId="0" xfId="0" applyFont="1" applyFill="1" applyAlignment="1">
      <alignment horizontal="center"/>
    </xf>
    <xf numFmtId="37" fontId="7" fillId="0" borderId="1" xfId="1" applyNumberFormat="1" applyFont="1" applyFill="1" applyBorder="1" applyAlignment="1" applyProtection="1">
      <alignment horizontal="center" wrapText="1"/>
      <protection locked="0"/>
    </xf>
    <xf numFmtId="37" fontId="7" fillId="0" borderId="1" xfId="1" applyNumberFormat="1" applyFont="1" applyFill="1" applyBorder="1" applyAlignment="1">
      <alignment horizontal="center" wrapText="1"/>
    </xf>
    <xf numFmtId="0" fontId="6" fillId="0" borderId="0" xfId="0" applyFont="1" applyAlignment="1">
      <alignment horizontal="center"/>
    </xf>
    <xf numFmtId="0" fontId="6" fillId="2" borderId="2" xfId="0" applyFont="1" applyFill="1" applyBorder="1" applyAlignment="1">
      <alignment wrapText="1"/>
    </xf>
    <xf numFmtId="41" fontId="7" fillId="0" borderId="4" xfId="2" applyFont="1" applyFill="1" applyBorder="1" applyAlignment="1" applyProtection="1">
      <protection locked="0"/>
    </xf>
    <xf numFmtId="41" fontId="7" fillId="0" borderId="1" xfId="2" applyFont="1" applyFill="1" applyBorder="1" applyAlignment="1" applyProtection="1">
      <protection locked="0"/>
    </xf>
    <xf numFmtId="49" fontId="7" fillId="0" borderId="4" xfId="0" applyNumberFormat="1" applyFont="1" applyBorder="1" applyAlignment="1" applyProtection="1">
      <alignment horizontal="center"/>
      <protection locked="0"/>
    </xf>
    <xf numFmtId="0" fontId="7" fillId="0" borderId="1" xfId="0" applyFont="1" applyBorder="1" applyAlignment="1">
      <alignment wrapText="1"/>
    </xf>
    <xf numFmtId="0" fontId="6" fillId="0" borderId="1" xfId="0" applyFont="1" applyBorder="1" applyAlignment="1">
      <alignment horizontal="center"/>
    </xf>
    <xf numFmtId="0" fontId="6" fillId="0" borderId="2" xfId="0" applyFont="1" applyBorder="1"/>
    <xf numFmtId="0" fontId="6" fillId="0" borderId="4" xfId="0" applyFont="1" applyBorder="1"/>
    <xf numFmtId="1" fontId="7" fillId="0" borderId="4" xfId="0" applyNumberFormat="1" applyFont="1" applyBorder="1" applyProtection="1">
      <protection locked="0"/>
    </xf>
    <xf numFmtId="49" fontId="7" fillId="0" borderId="4" xfId="0" applyNumberFormat="1" applyFont="1" applyBorder="1" applyProtection="1">
      <protection locked="0"/>
    </xf>
    <xf numFmtId="49" fontId="5" fillId="0" borderId="4" xfId="0" applyNumberFormat="1" applyFont="1" applyBorder="1" applyProtection="1">
      <protection locked="0"/>
    </xf>
    <xf numFmtId="49" fontId="7" fillId="0" borderId="2" xfId="0" applyNumberFormat="1" applyFont="1" applyBorder="1" applyProtection="1">
      <protection locked="0"/>
    </xf>
    <xf numFmtId="14" fontId="6" fillId="0" borderId="5" xfId="0" applyNumberFormat="1" applyFont="1" applyBorder="1"/>
    <xf numFmtId="0" fontId="7" fillId="0" borderId="1" xfId="0" applyFont="1" applyBorder="1"/>
    <xf numFmtId="165" fontId="7" fillId="0" borderId="1" xfId="1" applyNumberFormat="1" applyFont="1" applyFill="1" applyBorder="1" applyAlignment="1">
      <alignment horizontal="right"/>
    </xf>
    <xf numFmtId="1" fontId="7" fillId="0" borderId="1" xfId="0" applyNumberFormat="1" applyFont="1" applyBorder="1" applyProtection="1">
      <protection locked="0"/>
    </xf>
    <xf numFmtId="49" fontId="7" fillId="0" borderId="1" xfId="0" applyNumberFormat="1" applyFont="1" applyBorder="1" applyProtection="1">
      <protection locked="0"/>
    </xf>
    <xf numFmtId="14" fontId="7" fillId="0" borderId="1" xfId="0" applyNumberFormat="1" applyFont="1" applyBorder="1" applyProtection="1">
      <protection locked="0"/>
    </xf>
    <xf numFmtId="15" fontId="7" fillId="0" borderId="1" xfId="0" applyNumberFormat="1" applyFont="1" applyBorder="1" applyAlignment="1">
      <alignment horizontal="center"/>
    </xf>
    <xf numFmtId="15" fontId="7" fillId="0" borderId="1" xfId="0" applyNumberFormat="1" applyFont="1" applyBorder="1" applyAlignment="1">
      <alignment horizontal="center" wrapText="1"/>
    </xf>
    <xf numFmtId="49" fontId="7" fillId="0" borderId="1" xfId="0" applyNumberFormat="1" applyFont="1" applyBorder="1"/>
    <xf numFmtId="14" fontId="7" fillId="0" borderId="1" xfId="0" applyNumberFormat="1" applyFont="1" applyBorder="1"/>
    <xf numFmtId="0" fontId="6" fillId="0" borderId="7" xfId="0" applyFont="1" applyBorder="1"/>
    <xf numFmtId="49" fontId="7" fillId="0" borderId="4" xfId="0" applyNumberFormat="1" applyFont="1" applyBorder="1"/>
    <xf numFmtId="49" fontId="5" fillId="0" borderId="1" xfId="0" applyNumberFormat="1" applyFont="1" applyBorder="1" applyProtection="1">
      <protection locked="0"/>
    </xf>
    <xf numFmtId="14" fontId="7" fillId="0" borderId="2" xfId="0" applyNumberFormat="1" applyFont="1" applyBorder="1"/>
    <xf numFmtId="14" fontId="7" fillId="0" borderId="2" xfId="0" applyNumberFormat="1" applyFont="1" applyBorder="1" applyProtection="1">
      <protection locked="0"/>
    </xf>
    <xf numFmtId="0" fontId="6" fillId="0" borderId="18" xfId="0" applyFont="1" applyBorder="1"/>
    <xf numFmtId="0" fontId="8" fillId="0" borderId="19" xfId="0" applyFont="1" applyBorder="1"/>
    <xf numFmtId="0" fontId="6" fillId="0" borderId="20" xfId="0" applyFont="1" applyBorder="1"/>
    <xf numFmtId="0" fontId="6" fillId="0" borderId="11" xfId="0" applyFont="1" applyBorder="1"/>
    <xf numFmtId="0" fontId="6" fillId="0" borderId="21" xfId="0" applyFont="1" applyBorder="1"/>
    <xf numFmtId="0" fontId="6" fillId="0" borderId="17" xfId="0" applyFont="1" applyBorder="1"/>
    <xf numFmtId="0" fontId="8" fillId="0" borderId="12" xfId="0" applyFont="1" applyBorder="1"/>
    <xf numFmtId="0" fontId="6" fillId="0" borderId="6" xfId="0" applyFont="1" applyBorder="1"/>
    <xf numFmtId="0" fontId="6" fillId="0" borderId="22" xfId="0" applyFont="1" applyBorder="1"/>
    <xf numFmtId="0" fontId="6" fillId="0" borderId="23" xfId="0" applyFont="1" applyBorder="1"/>
    <xf numFmtId="0" fontId="8" fillId="0" borderId="24" xfId="0" applyFont="1" applyBorder="1"/>
    <xf numFmtId="0" fontId="6" fillId="0" borderId="25" xfId="0" applyFont="1" applyBorder="1"/>
    <xf numFmtId="0" fontId="6" fillId="0" borderId="27" xfId="0" applyFont="1" applyBorder="1"/>
    <xf numFmtId="0" fontId="6" fillId="0" borderId="26" xfId="0" applyFont="1" applyBorder="1"/>
    <xf numFmtId="49" fontId="7" fillId="0" borderId="3" xfId="0" applyNumberFormat="1" applyFont="1" applyBorder="1" applyAlignment="1">
      <alignment horizontal="center"/>
    </xf>
    <xf numFmtId="49" fontId="7" fillId="0" borderId="3" xfId="0" applyNumberFormat="1" applyFont="1" applyBorder="1"/>
    <xf numFmtId="14" fontId="6" fillId="0" borderId="0" xfId="0" applyNumberFormat="1" applyFont="1"/>
    <xf numFmtId="0" fontId="6" fillId="0" borderId="8" xfId="0" applyFont="1" applyBorder="1"/>
    <xf numFmtId="0" fontId="6" fillId="2" borderId="8" xfId="0" applyFont="1" applyFill="1" applyBorder="1" applyAlignment="1">
      <alignment wrapText="1"/>
    </xf>
    <xf numFmtId="49" fontId="7" fillId="0" borderId="8" xfId="0" applyNumberFormat="1" applyFont="1" applyBorder="1"/>
    <xf numFmtId="1" fontId="7" fillId="0" borderId="8" xfId="0" applyNumberFormat="1" applyFont="1" applyBorder="1" applyProtection="1">
      <protection locked="0"/>
    </xf>
    <xf numFmtId="49" fontId="7" fillId="0" borderId="8" xfId="0" applyNumberFormat="1" applyFont="1" applyBorder="1" applyProtection="1">
      <protection locked="0"/>
    </xf>
    <xf numFmtId="49" fontId="5" fillId="0" borderId="8" xfId="0" applyNumberFormat="1" applyFont="1" applyBorder="1" applyProtection="1">
      <protection locked="0"/>
    </xf>
    <xf numFmtId="14" fontId="7" fillId="0" borderId="8" xfId="0" applyNumberFormat="1" applyFont="1" applyBorder="1"/>
    <xf numFmtId="15" fontId="7" fillId="0" borderId="8" xfId="0" applyNumberFormat="1" applyFont="1" applyBorder="1"/>
    <xf numFmtId="14" fontId="6" fillId="0" borderId="9" xfId="0" applyNumberFormat="1" applyFont="1" applyBorder="1"/>
    <xf numFmtId="49" fontId="7" fillId="0" borderId="1" xfId="0" applyNumberFormat="1" applyFont="1" applyBorder="1" applyAlignment="1" applyProtection="1">
      <alignment horizontal="center"/>
      <protection locked="0"/>
    </xf>
    <xf numFmtId="49" fontId="7" fillId="0" borderId="4" xfId="0" applyNumberFormat="1" applyFont="1" applyBorder="1" applyAlignment="1">
      <alignment horizontal="center"/>
    </xf>
    <xf numFmtId="49" fontId="5" fillId="0" borderId="0" xfId="0" applyNumberFormat="1" applyFont="1" applyAlignment="1">
      <alignment horizontal="center" wrapText="1"/>
    </xf>
    <xf numFmtId="49" fontId="5" fillId="0" borderId="13" xfId="0" applyNumberFormat="1" applyFont="1" applyBorder="1" applyAlignment="1">
      <alignment horizontal="center"/>
    </xf>
    <xf numFmtId="49" fontId="5" fillId="0" borderId="13" xfId="0" applyNumberFormat="1" applyFont="1" applyBorder="1"/>
    <xf numFmtId="49" fontId="7" fillId="0" borderId="13" xfId="0" applyNumberFormat="1" applyFont="1" applyBorder="1"/>
    <xf numFmtId="49" fontId="5" fillId="0" borderId="1" xfId="0" applyNumberFormat="1" applyFont="1" applyBorder="1" applyAlignment="1">
      <alignment horizontal="center" wrapText="1"/>
    </xf>
    <xf numFmtId="37" fontId="7" fillId="0" borderId="4" xfId="1" applyNumberFormat="1" applyFont="1" applyFill="1" applyBorder="1" applyAlignment="1" applyProtection="1">
      <alignment horizontal="center" wrapText="1"/>
      <protection locked="0"/>
    </xf>
    <xf numFmtId="164" fontId="7" fillId="0" borderId="4" xfId="0" applyNumberFormat="1" applyFont="1" applyBorder="1" applyAlignment="1" applyProtection="1">
      <alignment wrapText="1"/>
      <protection locked="0"/>
    </xf>
    <xf numFmtId="164" fontId="7" fillId="0" borderId="6" xfId="0" applyNumberFormat="1" applyFont="1" applyBorder="1" applyAlignment="1" applyProtection="1">
      <alignment wrapText="1"/>
      <protection locked="0"/>
    </xf>
    <xf numFmtId="0" fontId="7" fillId="0" borderId="1" xfId="0" applyFont="1" applyBorder="1" applyAlignment="1">
      <alignment horizontal="center" wrapText="1"/>
    </xf>
    <xf numFmtId="37" fontId="7" fillId="0" borderId="4" xfId="1" applyNumberFormat="1" applyFont="1" applyFill="1" applyBorder="1" applyAlignment="1" applyProtection="1">
      <alignment horizontal="left" wrapText="1"/>
      <protection locked="0"/>
    </xf>
    <xf numFmtId="49" fontId="7" fillId="0" borderId="1" xfId="0" applyNumberFormat="1" applyFont="1" applyBorder="1" applyAlignment="1">
      <alignment horizontal="center" wrapText="1"/>
    </xf>
    <xf numFmtId="49" fontId="7" fillId="0" borderId="1" xfId="0" applyNumberFormat="1" applyFont="1" applyBorder="1" applyAlignment="1">
      <alignment wrapText="1"/>
    </xf>
    <xf numFmtId="0" fontId="7" fillId="0" borderId="8" xfId="0" applyFont="1" applyBorder="1" applyAlignment="1">
      <alignment wrapText="1"/>
    </xf>
    <xf numFmtId="14" fontId="7" fillId="0" borderId="1" xfId="0" applyNumberFormat="1" applyFont="1" applyBorder="1" applyAlignment="1">
      <alignment wrapText="1"/>
    </xf>
    <xf numFmtId="14" fontId="7" fillId="0" borderId="6" xfId="0" applyNumberFormat="1" applyFont="1" applyBorder="1" applyAlignment="1">
      <alignment wrapText="1"/>
    </xf>
    <xf numFmtId="37" fontId="5" fillId="0" borderId="1" xfId="1" applyNumberFormat="1" applyFont="1" applyFill="1" applyBorder="1" applyAlignment="1" applyProtection="1">
      <alignment horizontal="right" wrapText="1"/>
      <protection locked="0"/>
    </xf>
    <xf numFmtId="41" fontId="5" fillId="0" borderId="8" xfId="2" applyFont="1" applyFill="1" applyBorder="1" applyAlignment="1" applyProtection="1">
      <protection locked="0"/>
    </xf>
    <xf numFmtId="0" fontId="6" fillId="0" borderId="14" xfId="0" applyFont="1" applyBorder="1"/>
    <xf numFmtId="0" fontId="6" fillId="0" borderId="37" xfId="0" applyFont="1" applyBorder="1"/>
    <xf numFmtId="49" fontId="5" fillId="0" borderId="8" xfId="0" applyNumberFormat="1" applyFont="1" applyBorder="1" applyAlignment="1">
      <alignment horizontal="center" wrapText="1"/>
    </xf>
    <xf numFmtId="49" fontId="5" fillId="0" borderId="3" xfId="0" applyNumberFormat="1" applyFont="1" applyBorder="1" applyAlignment="1">
      <alignment horizontal="center" wrapText="1"/>
    </xf>
    <xf numFmtId="49" fontId="5" fillId="0" borderId="4" xfId="0" applyNumberFormat="1" applyFont="1" applyBorder="1" applyAlignment="1">
      <alignment horizontal="center" wrapText="1"/>
    </xf>
    <xf numFmtId="49" fontId="5" fillId="0" borderId="9" xfId="0" applyNumberFormat="1" applyFont="1" applyBorder="1" applyAlignment="1">
      <alignment horizontal="center"/>
    </xf>
    <xf numFmtId="49" fontId="5" fillId="0" borderId="15" xfId="0" applyNumberFormat="1" applyFont="1" applyBorder="1" applyAlignment="1">
      <alignment horizontal="center"/>
    </xf>
    <xf numFmtId="49" fontId="5" fillId="0" borderId="10" xfId="0" applyNumberFormat="1" applyFont="1" applyBorder="1" applyAlignment="1">
      <alignment horizontal="center"/>
    </xf>
    <xf numFmtId="49" fontId="5" fillId="0" borderId="5" xfId="0" applyNumberFormat="1" applyFont="1" applyBorder="1" applyAlignment="1">
      <alignment horizontal="center"/>
    </xf>
    <xf numFmtId="49" fontId="5" fillId="0" borderId="13" xfId="0" applyNumberFormat="1" applyFont="1" applyBorder="1" applyAlignment="1">
      <alignment horizontal="center"/>
    </xf>
    <xf numFmtId="49" fontId="5" fillId="0" borderId="2" xfId="0" applyNumberFormat="1" applyFont="1" applyBorder="1" applyAlignment="1">
      <alignment horizontal="center"/>
    </xf>
    <xf numFmtId="0" fontId="5" fillId="0" borderId="22" xfId="0" applyFont="1" applyBorder="1" applyAlignment="1">
      <alignment horizontal="center" wrapText="1"/>
    </xf>
    <xf numFmtId="0" fontId="6" fillId="0" borderId="36" xfId="0" applyFont="1" applyBorder="1"/>
    <xf numFmtId="0" fontId="6" fillId="0" borderId="39" xfId="0" applyFont="1" applyBorder="1"/>
    <xf numFmtId="0" fontId="6" fillId="0" borderId="34" xfId="0" applyFont="1" applyBorder="1"/>
    <xf numFmtId="0" fontId="6" fillId="0" borderId="40" xfId="0" applyFont="1" applyBorder="1"/>
    <xf numFmtId="0" fontId="5" fillId="0" borderId="9" xfId="0" applyFont="1" applyBorder="1" applyAlignment="1">
      <alignment horizontal="center"/>
    </xf>
    <xf numFmtId="0" fontId="5" fillId="0" borderId="15" xfId="0" applyFont="1" applyBorder="1" applyAlignment="1">
      <alignment horizontal="center"/>
    </xf>
    <xf numFmtId="0" fontId="5" fillId="0" borderId="28" xfId="0" applyFont="1" applyBorder="1" applyAlignment="1">
      <alignment horizontal="center"/>
    </xf>
    <xf numFmtId="0" fontId="5" fillId="0" borderId="0" xfId="0" applyFont="1" applyAlignment="1">
      <alignment horizontal="center"/>
    </xf>
    <xf numFmtId="0" fontId="5" fillId="0" borderId="38" xfId="0" applyFont="1" applyBorder="1"/>
    <xf numFmtId="0" fontId="5" fillId="0" borderId="17" xfId="0" applyFont="1" applyBorder="1"/>
    <xf numFmtId="49" fontId="5" fillId="0" borderId="1" xfId="0" applyNumberFormat="1" applyFont="1" applyBorder="1" applyAlignment="1">
      <alignment horizontal="center" wrapText="1"/>
    </xf>
    <xf numFmtId="0" fontId="8" fillId="0" borderId="42" xfId="0" applyFont="1" applyBorder="1"/>
    <xf numFmtId="0" fontId="8" fillId="0" borderId="28" xfId="0" applyFont="1" applyBorder="1"/>
    <xf numFmtId="0" fontId="8" fillId="0" borderId="43" xfId="0" applyFont="1" applyBorder="1"/>
    <xf numFmtId="0" fontId="6" fillId="0" borderId="27" xfId="0" applyFont="1" applyBorder="1"/>
    <xf numFmtId="49" fontId="5" fillId="0" borderId="5" xfId="0" applyNumberFormat="1" applyFont="1" applyBorder="1" applyAlignment="1">
      <alignment horizontal="center" wrapText="1"/>
    </xf>
    <xf numFmtId="49" fontId="5" fillId="0" borderId="13" xfId="0" applyNumberFormat="1" applyFont="1" applyBorder="1" applyAlignment="1">
      <alignment horizontal="center" wrapText="1"/>
    </xf>
    <xf numFmtId="49" fontId="5" fillId="0" borderId="2" xfId="0" applyNumberFormat="1" applyFont="1" applyBorder="1" applyAlignment="1">
      <alignment horizontal="center" wrapText="1"/>
    </xf>
    <xf numFmtId="0" fontId="6" fillId="0" borderId="6" xfId="0" applyFont="1" applyBorder="1"/>
    <xf numFmtId="49" fontId="5" fillId="0" borderId="28" xfId="0" applyNumberFormat="1" applyFont="1" applyBorder="1" applyAlignment="1">
      <alignment horizontal="center" wrapText="1"/>
    </xf>
    <xf numFmtId="49" fontId="5" fillId="0" borderId="0" xfId="0" applyNumberFormat="1" applyFont="1" applyAlignment="1">
      <alignment horizontal="center" wrapText="1"/>
    </xf>
    <xf numFmtId="0" fontId="6" fillId="0" borderId="11" xfId="0" applyFont="1" applyBorder="1"/>
    <xf numFmtId="0" fontId="8" fillId="0" borderId="19" xfId="0" applyFont="1" applyBorder="1"/>
    <xf numFmtId="0" fontId="8" fillId="0" borderId="12" xfId="0" applyFont="1" applyBorder="1"/>
    <xf numFmtId="0" fontId="8" fillId="0" borderId="24" xfId="0" applyFont="1" applyBorder="1"/>
    <xf numFmtId="0" fontId="5" fillId="2" borderId="9" xfId="0" applyFont="1" applyFill="1" applyBorder="1" applyAlignment="1">
      <alignment horizontal="center"/>
    </xf>
    <xf numFmtId="0" fontId="5" fillId="2" borderId="15" xfId="0" applyFont="1" applyFill="1" applyBorder="1" applyAlignment="1">
      <alignment horizontal="center"/>
    </xf>
    <xf numFmtId="0" fontId="5" fillId="2" borderId="10" xfId="0" applyFont="1" applyFill="1" applyBorder="1" applyAlignment="1">
      <alignment horizontal="center"/>
    </xf>
    <xf numFmtId="0" fontId="5" fillId="2" borderId="28" xfId="0" applyFont="1" applyFill="1" applyBorder="1" applyAlignment="1">
      <alignment horizontal="center"/>
    </xf>
    <xf numFmtId="0" fontId="5" fillId="2" borderId="0" xfId="0" applyFont="1" applyFill="1" applyAlignment="1">
      <alignment horizontal="center"/>
    </xf>
    <xf numFmtId="0" fontId="5" fillId="2" borderId="12" xfId="0" applyFont="1" applyFill="1" applyBorder="1" applyAlignment="1">
      <alignment horizontal="center"/>
    </xf>
    <xf numFmtId="0" fontId="5" fillId="0" borderId="22" xfId="0" applyFont="1" applyBorder="1" applyAlignment="1">
      <alignment wrapText="1"/>
    </xf>
    <xf numFmtId="49" fontId="5" fillId="2" borderId="13" xfId="0" applyNumberFormat="1" applyFont="1" applyFill="1" applyBorder="1" applyAlignment="1">
      <alignment horizontal="left" wrapText="1"/>
    </xf>
    <xf numFmtId="0" fontId="5" fillId="0" borderId="44" xfId="0" applyFont="1" applyBorder="1"/>
    <xf numFmtId="0" fontId="6" fillId="0" borderId="44" xfId="0" applyFont="1" applyBorder="1"/>
    <xf numFmtId="49" fontId="5" fillId="0" borderId="3" xfId="0" applyNumberFormat="1" applyFont="1" applyBorder="1" applyAlignment="1">
      <alignment horizontal="center"/>
    </xf>
    <xf numFmtId="0" fontId="5" fillId="0" borderId="28" xfId="0" applyFont="1" applyBorder="1" applyAlignment="1">
      <alignment horizontal="center" wrapText="1"/>
    </xf>
    <xf numFmtId="0" fontId="7" fillId="0" borderId="15" xfId="0" applyFont="1" applyBorder="1"/>
    <xf numFmtId="0" fontId="7" fillId="0" borderId="10" xfId="0" applyFont="1" applyBorder="1"/>
    <xf numFmtId="0" fontId="7" fillId="0" borderId="0" xfId="0" applyFont="1"/>
    <xf numFmtId="0" fontId="7" fillId="0" borderId="28" xfId="0" applyFont="1" applyBorder="1"/>
    <xf numFmtId="0" fontId="7" fillId="0" borderId="0" xfId="0" applyFont="1" applyAlignment="1">
      <alignment horizontal="center"/>
    </xf>
    <xf numFmtId="0" fontId="7" fillId="0" borderId="12" xfId="0" applyFont="1" applyBorder="1"/>
    <xf numFmtId="0" fontId="7" fillId="0" borderId="5" xfId="0" applyFont="1" applyBorder="1"/>
    <xf numFmtId="0" fontId="7" fillId="0" borderId="13" xfId="0" applyFont="1" applyBorder="1"/>
    <xf numFmtId="0" fontId="7" fillId="0" borderId="13" xfId="0" applyFont="1" applyBorder="1" applyAlignment="1">
      <alignment horizontal="center"/>
    </xf>
    <xf numFmtId="0" fontId="7" fillId="0" borderId="2" xfId="0" applyFont="1" applyBorder="1"/>
    <xf numFmtId="0" fontId="7" fillId="0" borderId="10" xfId="0" applyFont="1" applyBorder="1" applyAlignment="1">
      <alignment horizontal="center" wrapText="1"/>
    </xf>
    <xf numFmtId="0" fontId="7" fillId="0" borderId="1" xfId="0" applyFont="1" applyBorder="1" applyAlignment="1">
      <alignment horizontal="left" wrapText="1"/>
    </xf>
    <xf numFmtId="0" fontId="7" fillId="0" borderId="7" xfId="0" applyFont="1" applyBorder="1" applyAlignment="1">
      <alignment wrapText="1"/>
    </xf>
    <xf numFmtId="0" fontId="7" fillId="0" borderId="0" xfId="0" applyFont="1" applyAlignment="1">
      <alignment wrapText="1"/>
    </xf>
    <xf numFmtId="164" fontId="7" fillId="0" borderId="6" xfId="0" applyNumberFormat="1" applyFont="1" applyBorder="1" applyAlignment="1">
      <alignment wrapText="1"/>
    </xf>
    <xf numFmtId="3" fontId="7" fillId="0" borderId="1" xfId="0" applyNumberFormat="1" applyFont="1" applyBorder="1" applyAlignment="1">
      <alignment horizontal="right" wrapText="1"/>
    </xf>
    <xf numFmtId="49" fontId="7" fillId="0" borderId="1" xfId="0" applyNumberFormat="1" applyFont="1" applyBorder="1" applyAlignment="1" applyProtection="1">
      <alignment wrapText="1"/>
      <protection locked="0"/>
    </xf>
    <xf numFmtId="49" fontId="7" fillId="0" borderId="1" xfId="0" applyNumberFormat="1" applyFont="1" applyBorder="1" applyAlignment="1" applyProtection="1">
      <alignment horizontal="center" wrapText="1"/>
      <protection locked="0"/>
    </xf>
    <xf numFmtId="49" fontId="7" fillId="0" borderId="1" xfId="0" applyNumberFormat="1" applyFont="1" applyBorder="1" applyAlignment="1" applyProtection="1">
      <alignment horizontal="left" wrapText="1"/>
      <protection locked="0"/>
    </xf>
    <xf numFmtId="164" fontId="7" fillId="0" borderId="1" xfId="0" applyNumberFormat="1" applyFont="1" applyBorder="1" applyAlignment="1">
      <alignment horizontal="center"/>
    </xf>
    <xf numFmtId="14" fontId="7" fillId="0" borderId="1" xfId="0" applyNumberFormat="1" applyFont="1" applyBorder="1" applyAlignment="1" applyProtection="1">
      <alignment wrapText="1"/>
      <protection locked="0"/>
    </xf>
    <xf numFmtId="14" fontId="7" fillId="0" borderId="6" xfId="0" applyNumberFormat="1" applyFont="1" applyBorder="1" applyAlignment="1" applyProtection="1">
      <alignment wrapText="1"/>
      <protection locked="0"/>
    </xf>
    <xf numFmtId="0" fontId="7" fillId="0" borderId="29" xfId="0" applyFont="1" applyBorder="1"/>
    <xf numFmtId="0" fontId="5" fillId="0" borderId="0" xfId="0" applyFont="1"/>
    <xf numFmtId="0" fontId="5" fillId="0" borderId="0" xfId="0" applyFont="1"/>
    <xf numFmtId="0" fontId="7" fillId="0" borderId="21" xfId="0" applyFont="1" applyBorder="1" applyAlignment="1">
      <alignment horizontal="center"/>
    </xf>
    <xf numFmtId="0" fontId="7" fillId="0" borderId="14" xfId="0" applyFont="1" applyBorder="1"/>
    <xf numFmtId="0" fontId="7" fillId="0" borderId="37" xfId="0" applyFont="1" applyBorder="1"/>
    <xf numFmtId="0" fontId="7" fillId="0" borderId="16" xfId="0" applyFont="1" applyBorder="1"/>
    <xf numFmtId="0" fontId="7" fillId="0" borderId="30" xfId="0" applyFont="1" applyBorder="1" applyAlignment="1">
      <alignment horizontal="center"/>
    </xf>
    <xf numFmtId="0" fontId="7" fillId="0" borderId="14" xfId="0" applyFont="1" applyBorder="1"/>
    <xf numFmtId="0" fontId="7" fillId="0" borderId="0" xfId="0" applyFont="1"/>
    <xf numFmtId="0" fontId="7" fillId="0" borderId="41" xfId="0" applyFont="1" applyBorder="1" applyAlignment="1">
      <alignment horizontal="left"/>
    </xf>
    <xf numFmtId="0" fontId="7" fillId="0" borderId="14" xfId="0" applyFont="1" applyBorder="1" applyAlignment="1">
      <alignment horizontal="left"/>
    </xf>
    <xf numFmtId="0" fontId="7" fillId="0" borderId="31" xfId="0" applyFont="1" applyBorder="1"/>
    <xf numFmtId="0" fontId="7" fillId="0" borderId="32" xfId="0" applyFont="1" applyBorder="1"/>
    <xf numFmtId="0" fontId="7" fillId="0" borderId="32" xfId="0" applyFont="1" applyBorder="1"/>
    <xf numFmtId="0" fontId="7" fillId="0" borderId="33" xfId="0" applyFont="1" applyBorder="1" applyAlignment="1">
      <alignment horizontal="center"/>
    </xf>
    <xf numFmtId="0" fontId="7" fillId="0" borderId="34" xfId="0" applyFont="1" applyBorder="1"/>
    <xf numFmtId="0" fontId="7" fillId="0" borderId="34" xfId="0" applyFont="1" applyBorder="1"/>
    <xf numFmtId="0" fontId="7" fillId="0" borderId="40" xfId="0" applyFont="1" applyBorder="1"/>
    <xf numFmtId="0" fontId="5" fillId="0" borderId="35" xfId="0" applyFont="1" applyBorder="1"/>
    <xf numFmtId="0" fontId="7" fillId="0" borderId="36" xfId="0" applyFont="1" applyBorder="1"/>
    <xf numFmtId="0" fontId="7" fillId="0" borderId="36" xfId="0" applyFont="1" applyBorder="1"/>
    <xf numFmtId="0" fontId="7" fillId="0" borderId="39" xfId="0" applyFont="1" applyBorder="1"/>
    <xf numFmtId="0" fontId="7" fillId="0" borderId="26" xfId="0" applyFont="1" applyBorder="1" applyAlignment="1">
      <alignment horizontal="center"/>
    </xf>
  </cellXfs>
  <cellStyles count="4">
    <cellStyle name="Comma" xfId="1" builtinId="3"/>
    <cellStyle name="Comma [0]" xfId="2" builtinId="6"/>
    <cellStyle name="Hyperlink" xfId="3" builtinId="8"/>
    <cellStyle name="Normal" xfId="0" builtinId="0"/>
  </cellStyles>
  <dxfs count="54">
    <dxf>
      <font>
        <b val="0"/>
        <i val="0"/>
        <strike val="0"/>
        <condense val="0"/>
        <extend val="0"/>
        <outline val="0"/>
        <shadow val="0"/>
        <u val="none"/>
        <vertAlign val="baseline"/>
        <sz val="12"/>
        <color auto="1"/>
        <name val="Book Antiqua"/>
        <family val="1"/>
        <scheme val="none"/>
      </font>
      <numFmt numFmtId="164" formatCode="[$-409]d\-mmm\-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Book Antiqua"/>
        <family val="1"/>
        <scheme val="none"/>
      </font>
      <numFmt numFmtId="164" formatCode="[$-409]d\-mmm\-yy;@"/>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5" formatCode="#,##0_);\(#,##0\)"/>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fill>
        <patternFill patternType="none">
          <fgColor indexed="64"/>
          <bgColor auto="1"/>
        </patternFill>
      </fill>
      <alignment horizontal="center" vertical="bottom"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Book Antiqua"/>
        <family val="1"/>
        <scheme val="none"/>
      </font>
      <numFmt numFmtId="166" formatCode="dd/mm/yyyy"/>
      <alignmen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20" formatCode="d\-mmm\-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20" formatCode="d\-mmm\-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166" formatCode="dd/mm/yyyy"/>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Book Antiqua"/>
        <family val="1"/>
        <scheme val="none"/>
      </font>
      <numFmt numFmtId="166" formatCode="dd/mm/yyyy"/>
      <alignment vertical="bottom" textRotation="0" indent="0" justifyLastLine="0" shrinkToFit="0" readingOrder="0"/>
    </dxf>
    <dxf>
      <font>
        <strike val="0"/>
        <outline val="0"/>
        <shadow val="0"/>
        <u val="none"/>
        <vertAlign val="baseline"/>
        <sz val="12"/>
        <name val="Book Antiqua"/>
        <family val="1"/>
        <scheme val="none"/>
      </font>
      <numFmt numFmtId="166" formatCode="dd/mm/yyyy"/>
      <alignment vertical="bottom" textRotation="0" indent="0" justifyLastLine="0" shrinkToFit="0" readingOrder="0"/>
    </dxf>
    <dxf>
      <font>
        <strike val="0"/>
        <outline val="0"/>
        <shadow val="0"/>
        <u val="none"/>
        <vertAlign val="baseline"/>
        <sz val="12"/>
        <name val="Book Antiqua"/>
        <family val="1"/>
        <scheme val="none"/>
      </font>
      <numFmt numFmtId="166" formatCode="dd/mm/yyyy"/>
      <alignment vertical="bottom" textRotation="0" indent="0" justifyLastLine="0" shrinkToFit="0" readingOrder="0"/>
    </dxf>
    <dxf>
      <font>
        <b/>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1"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Book Antiqua"/>
        <family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Book Antiqua"/>
        <family val="1"/>
        <scheme val="none"/>
      </font>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Book Antiqua"/>
        <family val="1"/>
        <scheme val="none"/>
      </font>
      <alignment vertical="bottom" textRotation="0" indent="0" justifyLastLine="0" shrinkToFit="0" readingOrder="0"/>
      <border diagonalUp="0" diagonalDown="0" outline="0">
        <left/>
        <right style="thin">
          <color indexed="64"/>
        </right>
        <top style="thin">
          <color indexed="64"/>
        </top>
        <bottom style="thin">
          <color indexed="64"/>
        </bottom>
      </border>
    </dxf>
    <dxf>
      <border outline="0">
        <left style="thick">
          <color indexed="64"/>
        </left>
        <right style="thick">
          <color indexed="64"/>
        </right>
        <top style="thin">
          <color indexed="64"/>
        </top>
        <bottom style="thin">
          <color indexed="64"/>
        </bottom>
      </border>
    </dxf>
    <dxf>
      <font>
        <b val="0"/>
        <i val="0"/>
        <strike val="0"/>
        <condense val="0"/>
        <extend val="0"/>
        <outline val="0"/>
        <shadow val="0"/>
        <u val="none"/>
        <vertAlign val="baseline"/>
        <sz val="12"/>
        <color auto="1"/>
        <name val="Book Antiqua"/>
        <family val="1"/>
        <scheme val="none"/>
      </font>
      <numFmt numFmtId="30" formatCode="@"/>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Book Antiqua"/>
        <family val="1"/>
        <scheme val="none"/>
      </font>
      <numFmt numFmtId="30" formatCode="@"/>
      <alignment vertical="bottom" textRotation="0" indent="0" justifyLastLine="0" shrinkToFit="0" readingOrder="0"/>
      <border diagonalUp="0" diagonalDown="0" outline="0">
        <left style="thin">
          <color indexed="64"/>
        </left>
        <right style="thin">
          <color indexed="64"/>
        </right>
        <top/>
        <bottom/>
      </border>
      <protection locked="0" hidden="0"/>
    </dxf>
    <dxf>
      <border outline="0">
        <left style="thick">
          <color indexed="64"/>
        </left>
        <right style="thick">
          <color indexed="64"/>
        </right>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309562</xdr:colOff>
      <xdr:row>1</xdr:row>
      <xdr:rowOff>176213</xdr:rowOff>
    </xdr:from>
    <xdr:to>
      <xdr:col>9</xdr:col>
      <xdr:colOff>506527</xdr:colOff>
      <xdr:row>6</xdr:row>
      <xdr:rowOff>29936</xdr:rowOff>
    </xdr:to>
    <xdr:pic>
      <xdr:nvPicPr>
        <xdr:cNvPr id="2" name="Picture 1">
          <a:extLst>
            <a:ext uri="{FF2B5EF4-FFF2-40B4-BE49-F238E27FC236}">
              <a16:creationId xmlns:a16="http://schemas.microsoft.com/office/drawing/2014/main" id="{600AACB7-59F8-4FAD-9A30-7F7E952968E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4156" y="378619"/>
          <a:ext cx="2268652" cy="901473"/>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CA15BE-5EFA-724F-A9F0-9679D2F3BFFD}" name="Table1" displayName="Table1" ref="A11:V53" totalsRowShown="0" headerRowDxfId="1" dataDxfId="0" tableBorderDxfId="53">
  <tableColumns count="22">
    <tableColumn id="1" xr3:uid="{00000000-0010-0000-0100-000001000000}" name="Column1" dataDxfId="23"/>
    <tableColumn id="2" xr3:uid="{00000000-0010-0000-0100-000002000000}" name="Column2" dataDxfId="22"/>
    <tableColumn id="3" xr3:uid="{00000000-0010-0000-0100-000003000000}" name="Column3" dataDxfId="21"/>
    <tableColumn id="4" xr3:uid="{00000000-0010-0000-0100-000004000000}" name="Column4" dataDxfId="20" dataCellStyle="Comma"/>
    <tableColumn id="5" xr3:uid="{00000000-0010-0000-0100-000005000000}" name="Column5" dataDxfId="19" dataCellStyle="Comma"/>
    <tableColumn id="6" xr3:uid="{00000000-0010-0000-0100-000006000000}" name="Column6" dataDxfId="18" dataCellStyle="Comma"/>
    <tableColumn id="7" xr3:uid="{00000000-0010-0000-0100-000007000000}" name="Column7" dataDxfId="17" dataCellStyle="Comma"/>
    <tableColumn id="8" xr3:uid="{00000000-0010-0000-0100-000008000000}" name="Column8" dataDxfId="16" dataCellStyle="Comma"/>
    <tableColumn id="9" xr3:uid="{00000000-0010-0000-0100-000009000000}" name="Column9" dataDxfId="15" dataCellStyle="Comma"/>
    <tableColumn id="10" xr3:uid="{00000000-0010-0000-0100-00000A000000}" name="Column10" dataDxfId="14" dataCellStyle="Comma"/>
    <tableColumn id="11" xr3:uid="{00000000-0010-0000-0100-00000B000000}" name="Column11" dataDxfId="13" dataCellStyle="Comma"/>
    <tableColumn id="12" xr3:uid="{00000000-0010-0000-0100-00000C000000}" name="Column12" dataDxfId="12"/>
    <tableColumn id="13" xr3:uid="{00000000-0010-0000-0100-00000D000000}" name="Column13" dataDxfId="11" dataCellStyle="Comma"/>
    <tableColumn id="14" xr3:uid="{00000000-0010-0000-0100-00000E000000}" name="Column14" dataDxfId="10"/>
    <tableColumn id="15" xr3:uid="{00000000-0010-0000-0100-00000F000000}" name="Column15" dataDxfId="9"/>
    <tableColumn id="16" xr3:uid="{00000000-0010-0000-0100-000010000000}" name="Column16" dataDxfId="8"/>
    <tableColumn id="17" xr3:uid="{00000000-0010-0000-0100-000011000000}" name="Column17" dataDxfId="7"/>
    <tableColumn id="18" xr3:uid="{00000000-0010-0000-0100-000012000000}" name="Column18" dataDxfId="6"/>
    <tableColumn id="19" xr3:uid="{00000000-0010-0000-0100-000013000000}" name="Column19" dataDxfId="5"/>
    <tableColumn id="20" xr3:uid="{00000000-0010-0000-0100-000014000000}" name="Column20" dataDxfId="4"/>
    <tableColumn id="21" xr3:uid="{00000000-0010-0000-0100-000015000000}" name="Column21" dataDxfId="3"/>
    <tableColumn id="22" xr3:uid="{00000000-0010-0000-0100-000016000000}" name="Column22" dataDxfId="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2D9C21-0601-9846-952E-9AD7FABD525A}" name="Table2" displayName="Table2" ref="A10:Y18" totalsRowShown="0" headerRowDxfId="52" dataDxfId="50" headerRowBorderDxfId="51" tableBorderDxfId="49">
  <autoFilter ref="A10:Y18" xr:uid="{82AA6FC2-56E7-5847-8CC5-3F7097643168}"/>
  <tableColumns count="25">
    <tableColumn id="1" xr3:uid="{00000000-0010-0000-0300-000001000000}" name="Column1" dataDxfId="48"/>
    <tableColumn id="2" xr3:uid="{00000000-0010-0000-0300-000002000000}" name="Column2" dataDxfId="47"/>
    <tableColumn id="3" xr3:uid="{00000000-0010-0000-0300-000003000000}" name="Column3" dataDxfId="46"/>
    <tableColumn id="4" xr3:uid="{00000000-0010-0000-0300-000004000000}" name="Column4" dataDxfId="45" dataCellStyle="Comma [0]"/>
    <tableColumn id="5" xr3:uid="{00000000-0010-0000-0300-000005000000}" name="Column5" dataDxfId="44"/>
    <tableColumn id="6" xr3:uid="{00000000-0010-0000-0300-000006000000}" name="Column6" dataDxfId="43"/>
    <tableColumn id="7" xr3:uid="{00000000-0010-0000-0300-000007000000}" name="Column7" dataDxfId="42"/>
    <tableColumn id="8" xr3:uid="{00000000-0010-0000-0300-000008000000}" name="Column8" dataDxfId="41"/>
    <tableColumn id="9" xr3:uid="{00000000-0010-0000-0300-000009000000}" name="Column9" dataDxfId="40"/>
    <tableColumn id="10" xr3:uid="{00000000-0010-0000-0300-00000A000000}" name="Column10" dataDxfId="39"/>
    <tableColumn id="11" xr3:uid="{00000000-0010-0000-0300-00000B000000}" name="Column11" dataDxfId="38"/>
    <tableColumn id="12" xr3:uid="{00000000-0010-0000-0300-00000C000000}" name="Column12" dataDxfId="37"/>
    <tableColumn id="13" xr3:uid="{00000000-0010-0000-0300-00000D000000}" name="Column13" dataDxfId="36"/>
    <tableColumn id="14" xr3:uid="{00000000-0010-0000-0300-00000E000000}" name="Column14" dataDxfId="35"/>
    <tableColumn id="15" xr3:uid="{00000000-0010-0000-0300-00000F000000}" name="Column15" dataDxfId="34"/>
    <tableColumn id="16" xr3:uid="{00000000-0010-0000-0300-000010000000}" name="Column16" dataDxfId="33"/>
    <tableColumn id="17" xr3:uid="{00000000-0010-0000-0300-000011000000}" name="Column17" dataDxfId="32"/>
    <tableColumn id="18" xr3:uid="{00000000-0010-0000-0300-000012000000}" name="Column18" dataDxfId="31"/>
    <tableColumn id="19" xr3:uid="{00000000-0010-0000-0300-000013000000}" name="Column19" dataDxfId="30"/>
    <tableColumn id="20" xr3:uid="{00000000-0010-0000-0300-000014000000}" name="Column20" dataDxfId="29"/>
    <tableColumn id="21" xr3:uid="{00000000-0010-0000-0300-000015000000}" name="Column21" dataDxfId="28">
      <calculatedColumnFormula>V11-21</calculatedColumnFormula>
    </tableColumn>
    <tableColumn id="22" xr3:uid="{00000000-0010-0000-0300-000016000000}" name="Column22" dataDxfId="27"/>
    <tableColumn id="23" xr3:uid="{00000000-0010-0000-0300-000017000000}" name="Column23" dataDxfId="26">
      <calculatedColumnFormula>X11-10</calculatedColumnFormula>
    </tableColumn>
    <tableColumn id="24" xr3:uid="{00000000-0010-0000-0300-000018000000}" name="Column24" dataDxfId="25"/>
    <tableColumn id="25" xr3:uid="{00000000-0010-0000-0300-000019000000}" name="Column25" dataDxfId="24"/>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compliance@ppda.go.u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EB02-0DAE-A045-89B9-C3C0890D87CB}">
  <dimension ref="A2:X62"/>
  <sheetViews>
    <sheetView tabSelected="1" topLeftCell="C1" zoomScale="80" zoomScaleNormal="80" workbookViewId="0">
      <selection activeCell="K53" sqref="K53"/>
    </sheetView>
  </sheetViews>
  <sheetFormatPr defaultColWidth="8.85546875" defaultRowHeight="15.75" x14ac:dyDescent="0.25"/>
  <cols>
    <col min="1" max="1" width="7.28515625" style="153" customWidth="1"/>
    <col min="2" max="2" width="86.85546875" style="153" customWidth="1"/>
    <col min="3" max="3" width="11.42578125" style="153" customWidth="1"/>
    <col min="4" max="4" width="19.5703125" style="155" customWidth="1"/>
    <col min="5" max="5" width="10.85546875" style="153" hidden="1" customWidth="1"/>
    <col min="6" max="6" width="13" style="153" hidden="1" customWidth="1"/>
    <col min="7" max="8" width="11.42578125" style="153" hidden="1" customWidth="1"/>
    <col min="9" max="9" width="21.7109375" style="153" hidden="1" customWidth="1"/>
    <col min="10" max="10" width="29.5703125" style="153" customWidth="1"/>
    <col min="11" max="11" width="34.42578125" style="153" customWidth="1"/>
    <col min="12" max="12" width="30.5703125" style="153" customWidth="1"/>
    <col min="13" max="13" width="25.42578125" style="153" customWidth="1"/>
    <col min="14" max="14" width="21.85546875" style="155" customWidth="1"/>
    <col min="15" max="15" width="16.28515625" style="155" bestFit="1" customWidth="1"/>
    <col min="16" max="16" width="32.42578125" style="153" customWidth="1"/>
    <col min="17" max="19" width="12.42578125" style="153" customWidth="1"/>
    <col min="20" max="20" width="15" style="153" customWidth="1"/>
    <col min="21" max="21" width="15.140625" style="153" bestFit="1" customWidth="1"/>
    <col min="22" max="22" width="18.7109375" style="153" customWidth="1"/>
    <col min="23" max="16384" width="8.85546875" style="153"/>
  </cols>
  <sheetData>
    <row r="2" spans="1:22" ht="16.5" x14ac:dyDescent="0.3">
      <c r="A2" s="118" t="s">
        <v>29</v>
      </c>
      <c r="B2" s="119"/>
      <c r="C2" s="119"/>
      <c r="D2" s="119"/>
      <c r="E2" s="119"/>
      <c r="F2" s="119"/>
      <c r="G2" s="119"/>
      <c r="H2" s="119"/>
      <c r="I2" s="119"/>
      <c r="J2" s="119"/>
      <c r="K2" s="119"/>
      <c r="L2" s="119"/>
      <c r="M2" s="119"/>
      <c r="N2" s="119"/>
      <c r="O2" s="119"/>
      <c r="P2" s="119"/>
      <c r="Q2" s="119"/>
      <c r="R2" s="119"/>
      <c r="S2" s="119"/>
      <c r="T2" s="119"/>
      <c r="U2" s="151"/>
      <c r="V2" s="152"/>
    </row>
    <row r="3" spans="1:22" x14ac:dyDescent="0.25">
      <c r="A3" s="154"/>
      <c r="V3" s="156"/>
    </row>
    <row r="4" spans="1:22" ht="16.5" x14ac:dyDescent="0.3">
      <c r="A4" s="120" t="s">
        <v>111</v>
      </c>
      <c r="B4" s="121"/>
      <c r="C4" s="121"/>
      <c r="D4" s="121"/>
      <c r="E4" s="121"/>
      <c r="F4" s="121"/>
      <c r="G4" s="121"/>
      <c r="H4" s="121"/>
      <c r="I4" s="121"/>
      <c r="J4" s="121"/>
      <c r="K4" s="121"/>
      <c r="L4" s="121"/>
      <c r="M4" s="121"/>
      <c r="N4" s="121"/>
      <c r="O4" s="121"/>
      <c r="P4" s="121"/>
      <c r="Q4" s="121"/>
      <c r="R4" s="121"/>
      <c r="V4" s="156"/>
    </row>
    <row r="5" spans="1:22" x14ac:dyDescent="0.25">
      <c r="A5" s="154"/>
      <c r="V5" s="156"/>
    </row>
    <row r="6" spans="1:22" ht="16.5" x14ac:dyDescent="0.3">
      <c r="A6" s="120" t="s">
        <v>113</v>
      </c>
      <c r="B6" s="121"/>
      <c r="C6" s="121"/>
      <c r="D6" s="121"/>
      <c r="E6" s="121"/>
      <c r="F6" s="121"/>
      <c r="G6" s="121"/>
      <c r="H6" s="121"/>
      <c r="I6" s="121"/>
      <c r="J6" s="121"/>
      <c r="K6" s="121"/>
      <c r="L6" s="121"/>
      <c r="M6" s="121"/>
      <c r="N6" s="121"/>
      <c r="O6" s="121"/>
      <c r="P6" s="121"/>
      <c r="Q6" s="121"/>
      <c r="V6" s="156"/>
    </row>
    <row r="7" spans="1:22" ht="16.5" x14ac:dyDescent="0.3">
      <c r="A7" s="157"/>
      <c r="B7" s="158"/>
      <c r="C7" s="158"/>
      <c r="D7" s="159"/>
      <c r="J7" s="158"/>
      <c r="K7" s="158"/>
      <c r="L7" s="158"/>
      <c r="M7" s="158"/>
      <c r="N7" s="86"/>
      <c r="O7" s="86"/>
      <c r="P7" s="87"/>
      <c r="Q7" s="87"/>
      <c r="R7" s="87"/>
      <c r="S7" s="87"/>
      <c r="T7" s="87"/>
      <c r="U7" s="88"/>
      <c r="V7" s="160"/>
    </row>
    <row r="8" spans="1:22" ht="51" customHeight="1" x14ac:dyDescent="0.25">
      <c r="A8" s="122" t="s">
        <v>0</v>
      </c>
      <c r="B8" s="112" t="s">
        <v>26</v>
      </c>
      <c r="C8" s="104" t="s">
        <v>35</v>
      </c>
      <c r="D8" s="105" t="s">
        <v>27</v>
      </c>
      <c r="E8" s="124" t="s">
        <v>45</v>
      </c>
      <c r="F8" s="124"/>
      <c r="G8" s="124"/>
      <c r="H8" s="124"/>
      <c r="I8" s="124"/>
      <c r="J8" s="105" t="s">
        <v>12</v>
      </c>
      <c r="K8" s="105" t="s">
        <v>13</v>
      </c>
      <c r="L8" s="104" t="s">
        <v>68</v>
      </c>
      <c r="M8" s="105" t="s">
        <v>32</v>
      </c>
      <c r="N8" s="104" t="s">
        <v>36</v>
      </c>
      <c r="O8" s="104" t="s">
        <v>37</v>
      </c>
      <c r="P8" s="105" t="s">
        <v>39</v>
      </c>
      <c r="Q8" s="107" t="s">
        <v>3</v>
      </c>
      <c r="R8" s="108"/>
      <c r="S8" s="108"/>
      <c r="T8" s="109"/>
      <c r="U8" s="106" t="s">
        <v>22</v>
      </c>
      <c r="V8" s="113" t="s">
        <v>23</v>
      </c>
    </row>
    <row r="9" spans="1:22" x14ac:dyDescent="0.25">
      <c r="A9" s="123"/>
      <c r="B9" s="112"/>
      <c r="C9" s="105"/>
      <c r="D9" s="105"/>
      <c r="E9" s="124"/>
      <c r="F9" s="124"/>
      <c r="G9" s="124"/>
      <c r="H9" s="124"/>
      <c r="I9" s="124"/>
      <c r="J9" s="105"/>
      <c r="K9" s="105"/>
      <c r="L9" s="105"/>
      <c r="M9" s="105"/>
      <c r="N9" s="105"/>
      <c r="O9" s="105"/>
      <c r="P9" s="105"/>
      <c r="Q9" s="110"/>
      <c r="R9" s="111"/>
      <c r="S9" s="111"/>
      <c r="T9" s="112"/>
      <c r="U9" s="106"/>
      <c r="V9" s="113"/>
    </row>
    <row r="10" spans="1:22" ht="66" x14ac:dyDescent="0.3">
      <c r="A10" s="123"/>
      <c r="B10" s="112"/>
      <c r="C10" s="106"/>
      <c r="D10" s="106"/>
      <c r="E10" s="8" t="s">
        <v>41</v>
      </c>
      <c r="F10" s="8" t="s">
        <v>40</v>
      </c>
      <c r="G10" s="8" t="s">
        <v>42</v>
      </c>
      <c r="H10" s="8" t="s">
        <v>43</v>
      </c>
      <c r="I10" s="8" t="s">
        <v>44</v>
      </c>
      <c r="J10" s="106"/>
      <c r="K10" s="105"/>
      <c r="L10" s="106"/>
      <c r="M10" s="105"/>
      <c r="N10" s="106"/>
      <c r="O10" s="106"/>
      <c r="P10" s="106"/>
      <c r="Q10" s="89" t="s">
        <v>24</v>
      </c>
      <c r="R10" s="89" t="s">
        <v>30</v>
      </c>
      <c r="S10" s="89" t="s">
        <v>31</v>
      </c>
      <c r="T10" s="89" t="s">
        <v>25</v>
      </c>
      <c r="U10" s="106"/>
      <c r="V10" s="113"/>
    </row>
    <row r="11" spans="1:22" s="164" customFormat="1" ht="33" hidden="1" customHeight="1" x14ac:dyDescent="0.3">
      <c r="A11" s="161" t="s">
        <v>69</v>
      </c>
      <c r="B11" s="162" t="s">
        <v>70</v>
      </c>
      <c r="C11" s="163" t="s">
        <v>71</v>
      </c>
      <c r="D11" s="27" t="s">
        <v>72</v>
      </c>
      <c r="E11" s="164" t="s">
        <v>73</v>
      </c>
      <c r="F11" s="21" t="s">
        <v>74</v>
      </c>
      <c r="G11" s="21" t="s">
        <v>75</v>
      </c>
      <c r="H11" s="21" t="s">
        <v>76</v>
      </c>
      <c r="I11" s="21" t="s">
        <v>77</v>
      </c>
      <c r="J11" s="20" t="s">
        <v>78</v>
      </c>
      <c r="K11" s="20" t="s">
        <v>79</v>
      </c>
      <c r="L11" s="20" t="s">
        <v>80</v>
      </c>
      <c r="M11" s="20" t="s">
        <v>81</v>
      </c>
      <c r="N11" s="27" t="s">
        <v>82</v>
      </c>
      <c r="O11" s="90" t="s">
        <v>83</v>
      </c>
      <c r="P11" s="21" t="s">
        <v>84</v>
      </c>
      <c r="Q11" s="91" t="s">
        <v>85</v>
      </c>
      <c r="R11" s="91" t="s">
        <v>86</v>
      </c>
      <c r="S11" s="91" t="s">
        <v>87</v>
      </c>
      <c r="T11" s="91" t="s">
        <v>88</v>
      </c>
      <c r="U11" s="92" t="s">
        <v>89</v>
      </c>
      <c r="V11" s="165" t="s">
        <v>90</v>
      </c>
    </row>
    <row r="12" spans="1:22" s="164" customFormat="1" ht="18" customHeight="1" x14ac:dyDescent="0.25">
      <c r="A12" s="161">
        <v>1</v>
      </c>
      <c r="B12" s="34" t="s">
        <v>114</v>
      </c>
      <c r="C12" s="24" t="s">
        <v>94</v>
      </c>
      <c r="D12" s="166">
        <v>28665000000</v>
      </c>
      <c r="E12" s="93"/>
      <c r="F12" s="24"/>
      <c r="J12" s="20" t="s">
        <v>99</v>
      </c>
      <c r="K12" s="24" t="s">
        <v>115</v>
      </c>
      <c r="L12" s="20" t="s">
        <v>102</v>
      </c>
      <c r="M12" s="20" t="s">
        <v>104</v>
      </c>
      <c r="N12" s="27" t="s">
        <v>106</v>
      </c>
      <c r="O12" s="90" t="s">
        <v>106</v>
      </c>
      <c r="P12" s="94" t="s">
        <v>109</v>
      </c>
      <c r="Q12" s="49">
        <f>R12-15</f>
        <v>46393</v>
      </c>
      <c r="R12" s="49">
        <f t="shared" ref="R12:R17" si="0">S12-35</f>
        <v>46408</v>
      </c>
      <c r="S12" s="49">
        <f>T12-20</f>
        <v>46443</v>
      </c>
      <c r="T12" s="49">
        <f>U12-14</f>
        <v>46463</v>
      </c>
      <c r="U12" s="49">
        <v>46477</v>
      </c>
      <c r="V12" s="49">
        <f>U12+30</f>
        <v>46507</v>
      </c>
    </row>
    <row r="13" spans="1:22" s="164" customFormat="1" ht="22.5" customHeight="1" x14ac:dyDescent="0.25">
      <c r="A13" s="161">
        <v>2</v>
      </c>
      <c r="B13" s="34" t="s">
        <v>116</v>
      </c>
      <c r="C13" s="24" t="s">
        <v>94</v>
      </c>
      <c r="D13" s="166">
        <v>550000000</v>
      </c>
      <c r="E13" s="93"/>
      <c r="F13" s="24"/>
      <c r="G13" s="20"/>
      <c r="H13" s="20"/>
      <c r="I13" s="20"/>
      <c r="J13" s="20" t="s">
        <v>99</v>
      </c>
      <c r="K13" s="24" t="s">
        <v>115</v>
      </c>
      <c r="L13" s="167" t="s">
        <v>101</v>
      </c>
      <c r="M13" s="20" t="s">
        <v>104</v>
      </c>
      <c r="N13" s="27" t="s">
        <v>106</v>
      </c>
      <c r="O13" s="168" t="s">
        <v>106</v>
      </c>
      <c r="P13" s="169" t="s">
        <v>109</v>
      </c>
      <c r="Q13" s="49">
        <f>R13-15</f>
        <v>46302</v>
      </c>
      <c r="R13" s="49">
        <f t="shared" si="0"/>
        <v>46317</v>
      </c>
      <c r="S13" s="49">
        <f>T13-20</f>
        <v>46352</v>
      </c>
      <c r="T13" s="49">
        <f>U13-14</f>
        <v>46372</v>
      </c>
      <c r="U13" s="49">
        <v>46386</v>
      </c>
      <c r="V13" s="49">
        <f>3*365+U13</f>
        <v>47481</v>
      </c>
    </row>
    <row r="14" spans="1:22" s="164" customFormat="1" ht="63" x14ac:dyDescent="0.25">
      <c r="A14" s="161">
        <v>3</v>
      </c>
      <c r="B14" s="34" t="s">
        <v>118</v>
      </c>
      <c r="C14" s="24" t="s">
        <v>94</v>
      </c>
      <c r="D14" s="166">
        <f>2204857+10908283+84537584+17069904+194448568</f>
        <v>309169196</v>
      </c>
      <c r="E14" s="93"/>
      <c r="F14" s="24"/>
      <c r="G14" s="20"/>
      <c r="H14" s="20"/>
      <c r="I14" s="20"/>
      <c r="J14" s="20" t="s">
        <v>99</v>
      </c>
      <c r="K14" s="24" t="s">
        <v>117</v>
      </c>
      <c r="L14" s="167" t="s">
        <v>101</v>
      </c>
      <c r="M14" s="20" t="s">
        <v>104</v>
      </c>
      <c r="N14" s="27" t="s">
        <v>106</v>
      </c>
      <c r="O14" s="95" t="s">
        <v>107</v>
      </c>
      <c r="P14" s="96" t="s">
        <v>110</v>
      </c>
      <c r="Q14" s="49">
        <f>R14-14</f>
        <v>46400</v>
      </c>
      <c r="R14" s="49">
        <f t="shared" si="0"/>
        <v>46414</v>
      </c>
      <c r="S14" s="49">
        <f t="shared" ref="S14:S21" si="1">T14-21</f>
        <v>46449</v>
      </c>
      <c r="T14" s="49">
        <f>U14-22</f>
        <v>46470</v>
      </c>
      <c r="U14" s="49">
        <v>46492</v>
      </c>
      <c r="V14" s="49">
        <f>3*365+U14</f>
        <v>47587</v>
      </c>
    </row>
    <row r="15" spans="1:22" s="164" customFormat="1" ht="24.75" customHeight="1" x14ac:dyDescent="0.25">
      <c r="A15" s="161">
        <v>4</v>
      </c>
      <c r="B15" s="34" t="s">
        <v>119</v>
      </c>
      <c r="C15" s="24" t="s">
        <v>94</v>
      </c>
      <c r="D15" s="166">
        <f>150000000+54000000+100000000</f>
        <v>304000000</v>
      </c>
      <c r="E15" s="93"/>
      <c r="F15" s="24"/>
      <c r="G15" s="22"/>
      <c r="H15" s="22"/>
      <c r="I15" s="22"/>
      <c r="J15" s="20" t="s">
        <v>99</v>
      </c>
      <c r="K15" s="24" t="s">
        <v>117</v>
      </c>
      <c r="L15" s="96" t="s">
        <v>101</v>
      </c>
      <c r="M15" s="20" t="s">
        <v>104</v>
      </c>
      <c r="N15" s="27" t="s">
        <v>106</v>
      </c>
      <c r="O15" s="95" t="s">
        <v>107</v>
      </c>
      <c r="P15" s="96" t="s">
        <v>108</v>
      </c>
      <c r="Q15" s="49">
        <f t="shared" ref="Q15:Q21" si="2">R15-21</f>
        <v>46374</v>
      </c>
      <c r="R15" s="49">
        <f t="shared" si="0"/>
        <v>46395</v>
      </c>
      <c r="S15" s="49">
        <f t="shared" si="1"/>
        <v>46430</v>
      </c>
      <c r="T15" s="49">
        <f>U15-26</f>
        <v>46451</v>
      </c>
      <c r="U15" s="49">
        <v>46477</v>
      </c>
      <c r="V15" s="49">
        <f>U15+20</f>
        <v>46497</v>
      </c>
    </row>
    <row r="16" spans="1:22" s="164" customFormat="1" ht="31.5" x14ac:dyDescent="0.25">
      <c r="A16" s="161">
        <v>5</v>
      </c>
      <c r="B16" s="34" t="s">
        <v>152</v>
      </c>
      <c r="C16" s="24" t="s">
        <v>94</v>
      </c>
      <c r="D16" s="166">
        <f>105000000+180000000+15000000</f>
        <v>300000000</v>
      </c>
      <c r="E16" s="93"/>
      <c r="F16" s="24"/>
      <c r="G16" s="20"/>
      <c r="H16" s="20"/>
      <c r="I16" s="20"/>
      <c r="J16" s="20" t="s">
        <v>99</v>
      </c>
      <c r="K16" s="24" t="s">
        <v>117</v>
      </c>
      <c r="L16" s="167" t="s">
        <v>102</v>
      </c>
      <c r="M16" s="20" t="s">
        <v>104</v>
      </c>
      <c r="N16" s="27" t="s">
        <v>106</v>
      </c>
      <c r="O16" s="95" t="s">
        <v>106</v>
      </c>
      <c r="P16" s="96" t="s">
        <v>109</v>
      </c>
      <c r="Q16" s="49">
        <f t="shared" si="2"/>
        <v>46251</v>
      </c>
      <c r="R16" s="49">
        <f t="shared" si="0"/>
        <v>46272</v>
      </c>
      <c r="S16" s="49">
        <f t="shared" si="1"/>
        <v>46307</v>
      </c>
      <c r="T16" s="49">
        <f>U16-25</f>
        <v>46328</v>
      </c>
      <c r="U16" s="49">
        <v>46353</v>
      </c>
      <c r="V16" s="49">
        <f>U16+20</f>
        <v>46373</v>
      </c>
    </row>
    <row r="17" spans="1:24" s="164" customFormat="1" ht="66" customHeight="1" x14ac:dyDescent="0.25">
      <c r="A17" s="161">
        <v>6</v>
      </c>
      <c r="B17" s="162" t="s">
        <v>159</v>
      </c>
      <c r="C17" s="24" t="s">
        <v>94</v>
      </c>
      <c r="D17" s="166">
        <f>100000000+25000000+7500000+7500000+3000000+12600000+20000000+5000000+7500000+5000000+17500000+15000000+13500000+100000000</f>
        <v>339100000</v>
      </c>
      <c r="E17" s="93"/>
      <c r="F17" s="24"/>
      <c r="G17" s="22"/>
      <c r="H17" s="22"/>
      <c r="I17" s="22"/>
      <c r="J17" s="20" t="s">
        <v>99</v>
      </c>
      <c r="K17" s="24" t="s">
        <v>117</v>
      </c>
      <c r="L17" s="96" t="s">
        <v>102</v>
      </c>
      <c r="M17" s="20" t="s">
        <v>104</v>
      </c>
      <c r="N17" s="27" t="s">
        <v>106</v>
      </c>
      <c r="O17" s="95" t="s">
        <v>107</v>
      </c>
      <c r="P17" s="96" t="s">
        <v>108</v>
      </c>
      <c r="Q17" s="49">
        <f t="shared" si="2"/>
        <v>46342</v>
      </c>
      <c r="R17" s="49">
        <f t="shared" si="0"/>
        <v>46363</v>
      </c>
      <c r="S17" s="49">
        <f t="shared" si="1"/>
        <v>46398</v>
      </c>
      <c r="T17" s="49">
        <f>U17-25</f>
        <v>46419</v>
      </c>
      <c r="U17" s="49">
        <v>46444</v>
      </c>
      <c r="V17" s="49">
        <f>U17+35</f>
        <v>46479</v>
      </c>
    </row>
    <row r="18" spans="1:24" s="164" customFormat="1" ht="24" customHeight="1" x14ac:dyDescent="0.25">
      <c r="A18" s="161">
        <v>7</v>
      </c>
      <c r="B18" s="162" t="s">
        <v>120</v>
      </c>
      <c r="C18" s="24" t="s">
        <v>94</v>
      </c>
      <c r="D18" s="166">
        <v>200000000</v>
      </c>
      <c r="E18" s="93"/>
      <c r="F18" s="24"/>
      <c r="G18" s="20"/>
      <c r="H18" s="20"/>
      <c r="I18" s="20"/>
      <c r="J18" s="20" t="s">
        <v>99</v>
      </c>
      <c r="K18" s="24" t="s">
        <v>121</v>
      </c>
      <c r="L18" s="167" t="s">
        <v>101</v>
      </c>
      <c r="M18" s="20" t="s">
        <v>104</v>
      </c>
      <c r="N18" s="27" t="s">
        <v>106</v>
      </c>
      <c r="O18" s="95" t="s">
        <v>107</v>
      </c>
      <c r="P18" s="96" t="s">
        <v>110</v>
      </c>
      <c r="Q18" s="49">
        <f t="shared" si="2"/>
        <v>46402</v>
      </c>
      <c r="R18" s="49">
        <f>S18-25</f>
        <v>46423</v>
      </c>
      <c r="S18" s="49">
        <f t="shared" si="1"/>
        <v>46448</v>
      </c>
      <c r="T18" s="49">
        <f>U18-30</f>
        <v>46469</v>
      </c>
      <c r="U18" s="49">
        <v>46499</v>
      </c>
      <c r="V18" s="49">
        <f>3*365+U18</f>
        <v>47594</v>
      </c>
    </row>
    <row r="19" spans="1:24" s="164" customFormat="1" ht="24" customHeight="1" x14ac:dyDescent="0.25">
      <c r="A19" s="161">
        <v>8</v>
      </c>
      <c r="B19" s="34" t="s">
        <v>155</v>
      </c>
      <c r="C19" s="24" t="s">
        <v>94</v>
      </c>
      <c r="D19" s="166">
        <f>14000000+20000000+151770000</f>
        <v>185770000</v>
      </c>
      <c r="E19" s="24"/>
      <c r="F19" s="24"/>
      <c r="G19" s="22"/>
      <c r="H19" s="22"/>
      <c r="I19" s="22"/>
      <c r="J19" s="20" t="s">
        <v>99</v>
      </c>
      <c r="K19" s="24" t="s">
        <v>121</v>
      </c>
      <c r="L19" s="96" t="s">
        <v>101</v>
      </c>
      <c r="M19" s="20" t="s">
        <v>105</v>
      </c>
      <c r="N19" s="27" t="s">
        <v>106</v>
      </c>
      <c r="O19" s="95" t="s">
        <v>107</v>
      </c>
      <c r="P19" s="96" t="s">
        <v>108</v>
      </c>
      <c r="Q19" s="49">
        <f>R19-14</f>
        <v>46230</v>
      </c>
      <c r="R19" s="49">
        <f>S19-15</f>
        <v>46244</v>
      </c>
      <c r="S19" s="49">
        <f>T19-14</f>
        <v>46259</v>
      </c>
      <c r="T19" s="49">
        <f>U19-10</f>
        <v>46273</v>
      </c>
      <c r="U19" s="49">
        <v>46283</v>
      </c>
      <c r="V19" s="48">
        <f>3*365+U19</f>
        <v>47378</v>
      </c>
    </row>
    <row r="20" spans="1:24" s="164" customFormat="1" ht="24" customHeight="1" x14ac:dyDescent="0.25">
      <c r="A20" s="161">
        <v>9</v>
      </c>
      <c r="B20" s="162" t="s">
        <v>146</v>
      </c>
      <c r="C20" s="24" t="s">
        <v>94</v>
      </c>
      <c r="D20" s="166">
        <v>171000000</v>
      </c>
      <c r="E20" s="93"/>
      <c r="F20" s="24"/>
      <c r="G20" s="22"/>
      <c r="H20" s="22"/>
      <c r="I20" s="22"/>
      <c r="J20" s="20" t="s">
        <v>99</v>
      </c>
      <c r="K20" s="24" t="s">
        <v>121</v>
      </c>
      <c r="L20" s="96" t="s">
        <v>101</v>
      </c>
      <c r="M20" s="20" t="s">
        <v>104</v>
      </c>
      <c r="N20" s="27" t="s">
        <v>106</v>
      </c>
      <c r="O20" s="95" t="s">
        <v>107</v>
      </c>
      <c r="P20" s="96" t="s">
        <v>110</v>
      </c>
      <c r="Q20" s="49">
        <f t="shared" si="2"/>
        <v>46402</v>
      </c>
      <c r="R20" s="49">
        <f>S20-25</f>
        <v>46423</v>
      </c>
      <c r="S20" s="49">
        <f t="shared" si="1"/>
        <v>46448</v>
      </c>
      <c r="T20" s="49">
        <f>U20-30</f>
        <v>46469</v>
      </c>
      <c r="U20" s="49">
        <v>46499</v>
      </c>
      <c r="V20" s="49">
        <f>U20+20</f>
        <v>46519</v>
      </c>
    </row>
    <row r="21" spans="1:24" s="164" customFormat="1" ht="31.5" x14ac:dyDescent="0.25">
      <c r="A21" s="161">
        <v>10</v>
      </c>
      <c r="B21" s="162" t="s">
        <v>122</v>
      </c>
      <c r="C21" s="24" t="s">
        <v>94</v>
      </c>
      <c r="D21" s="166">
        <f>100000000+33750000+33750000</f>
        <v>167500000</v>
      </c>
      <c r="E21" s="93"/>
      <c r="F21" s="24"/>
      <c r="G21" s="20"/>
      <c r="H21" s="20"/>
      <c r="I21" s="20"/>
      <c r="J21" s="20" t="s">
        <v>99</v>
      </c>
      <c r="K21" s="24" t="s">
        <v>121</v>
      </c>
      <c r="L21" s="167" t="s">
        <v>101</v>
      </c>
      <c r="M21" s="20" t="s">
        <v>104</v>
      </c>
      <c r="N21" s="27" t="s">
        <v>106</v>
      </c>
      <c r="O21" s="95" t="s">
        <v>107</v>
      </c>
      <c r="P21" s="96" t="s">
        <v>110</v>
      </c>
      <c r="Q21" s="49">
        <f t="shared" si="2"/>
        <v>46402</v>
      </c>
      <c r="R21" s="49">
        <f>S21-25</f>
        <v>46423</v>
      </c>
      <c r="S21" s="49">
        <f t="shared" si="1"/>
        <v>46448</v>
      </c>
      <c r="T21" s="49">
        <f>U21-30</f>
        <v>46469</v>
      </c>
      <c r="U21" s="49">
        <v>46499</v>
      </c>
      <c r="V21" s="49">
        <f>3*365+U21</f>
        <v>47594</v>
      </c>
    </row>
    <row r="22" spans="1:24" s="164" customFormat="1" ht="31.5" x14ac:dyDescent="0.25">
      <c r="A22" s="161">
        <v>11</v>
      </c>
      <c r="B22" s="34" t="s">
        <v>123</v>
      </c>
      <c r="C22" s="24" t="s">
        <v>94</v>
      </c>
      <c r="D22" s="166">
        <f>96000000+40000000+20000000</f>
        <v>156000000</v>
      </c>
      <c r="E22" s="93"/>
      <c r="F22" s="24"/>
      <c r="G22" s="22"/>
      <c r="H22" s="22"/>
      <c r="I22" s="22"/>
      <c r="J22" s="20" t="s">
        <v>99</v>
      </c>
      <c r="K22" s="24" t="s">
        <v>121</v>
      </c>
      <c r="L22" s="96" t="s">
        <v>102</v>
      </c>
      <c r="M22" s="20" t="s">
        <v>104</v>
      </c>
      <c r="N22" s="27" t="s">
        <v>106</v>
      </c>
      <c r="O22" s="95" t="s">
        <v>107</v>
      </c>
      <c r="P22" s="96" t="s">
        <v>110</v>
      </c>
      <c r="Q22" s="49">
        <f>R22-15</f>
        <v>46237</v>
      </c>
      <c r="R22" s="49">
        <f>S22-15</f>
        <v>46252</v>
      </c>
      <c r="S22" s="49">
        <f>T22-14</f>
        <v>46267</v>
      </c>
      <c r="T22" s="49">
        <f>U22-12</f>
        <v>46281</v>
      </c>
      <c r="U22" s="49">
        <v>46293</v>
      </c>
      <c r="V22" s="48">
        <f>U22+45</f>
        <v>46338</v>
      </c>
    </row>
    <row r="23" spans="1:24" s="164" customFormat="1" ht="38.25" customHeight="1" x14ac:dyDescent="0.25">
      <c r="A23" s="161">
        <v>12</v>
      </c>
      <c r="B23" s="162" t="s">
        <v>124</v>
      </c>
      <c r="C23" s="24" t="s">
        <v>94</v>
      </c>
      <c r="D23" s="166">
        <f>35000000+41960576+44000000</f>
        <v>120960576</v>
      </c>
      <c r="E23" s="93"/>
      <c r="F23" s="24"/>
      <c r="G23" s="20"/>
      <c r="H23" s="20"/>
      <c r="I23" s="20"/>
      <c r="J23" s="20" t="s">
        <v>99</v>
      </c>
      <c r="K23" s="24" t="s">
        <v>121</v>
      </c>
      <c r="L23" s="167" t="s">
        <v>101</v>
      </c>
      <c r="M23" s="20" t="s">
        <v>104</v>
      </c>
      <c r="N23" s="27" t="s">
        <v>106</v>
      </c>
      <c r="O23" s="95" t="s">
        <v>107</v>
      </c>
      <c r="P23" s="96" t="s">
        <v>110</v>
      </c>
      <c r="Q23" s="49">
        <f>R23-21</f>
        <v>46402</v>
      </c>
      <c r="R23" s="49">
        <f>S23-25</f>
        <v>46423</v>
      </c>
      <c r="S23" s="49">
        <f>T23-21</f>
        <v>46448</v>
      </c>
      <c r="T23" s="49">
        <f>U23-30</f>
        <v>46469</v>
      </c>
      <c r="U23" s="49">
        <v>46499</v>
      </c>
      <c r="V23" s="49">
        <f>3*365+U23</f>
        <v>47594</v>
      </c>
    </row>
    <row r="24" spans="1:24" ht="31.5" x14ac:dyDescent="0.25">
      <c r="A24" s="161">
        <v>13</v>
      </c>
      <c r="B24" s="162" t="s">
        <v>125</v>
      </c>
      <c r="C24" s="24" t="s">
        <v>94</v>
      </c>
      <c r="D24" s="166">
        <v>114424128</v>
      </c>
      <c r="E24" s="93"/>
      <c r="F24" s="24"/>
      <c r="G24" s="22"/>
      <c r="H24" s="22"/>
      <c r="I24" s="22"/>
      <c r="J24" s="20" t="s">
        <v>99</v>
      </c>
      <c r="K24" s="24" t="s">
        <v>121</v>
      </c>
      <c r="L24" s="96" t="s">
        <v>101</v>
      </c>
      <c r="M24" s="20" t="s">
        <v>104</v>
      </c>
      <c r="N24" s="27" t="s">
        <v>106</v>
      </c>
      <c r="O24" s="95" t="s">
        <v>107</v>
      </c>
      <c r="P24" s="96" t="s">
        <v>110</v>
      </c>
      <c r="Q24" s="49">
        <f>R24-21</f>
        <v>46402</v>
      </c>
      <c r="R24" s="49">
        <f>S24-25</f>
        <v>46423</v>
      </c>
      <c r="S24" s="49">
        <f>T24-21</f>
        <v>46448</v>
      </c>
      <c r="T24" s="49">
        <f>U24-30</f>
        <v>46469</v>
      </c>
      <c r="U24" s="49">
        <v>46499</v>
      </c>
      <c r="V24" s="49">
        <f>3*365+U24</f>
        <v>47594</v>
      </c>
    </row>
    <row r="25" spans="1:24" ht="31.5" x14ac:dyDescent="0.25">
      <c r="A25" s="161">
        <v>14</v>
      </c>
      <c r="B25" s="34" t="s">
        <v>126</v>
      </c>
      <c r="C25" s="24" t="s">
        <v>94</v>
      </c>
      <c r="D25" s="166">
        <v>80000000</v>
      </c>
      <c r="E25" s="93"/>
      <c r="F25" s="24"/>
      <c r="G25" s="22"/>
      <c r="H25" s="22"/>
      <c r="I25" s="22"/>
      <c r="J25" s="20" t="s">
        <v>99</v>
      </c>
      <c r="K25" s="24" t="s">
        <v>121</v>
      </c>
      <c r="L25" s="96" t="s">
        <v>102</v>
      </c>
      <c r="M25" s="20" t="s">
        <v>104</v>
      </c>
      <c r="N25" s="27" t="s">
        <v>106</v>
      </c>
      <c r="O25" s="95" t="s">
        <v>107</v>
      </c>
      <c r="P25" s="96" t="s">
        <v>110</v>
      </c>
      <c r="Q25" s="48">
        <f>R25-23</f>
        <v>46253</v>
      </c>
      <c r="R25" s="170">
        <f>S25-20</f>
        <v>46276</v>
      </c>
      <c r="S25" s="170">
        <f>T25-18</f>
        <v>46296</v>
      </c>
      <c r="T25" s="170">
        <f>U25-11</f>
        <v>46314</v>
      </c>
      <c r="U25" s="170">
        <v>46325</v>
      </c>
      <c r="V25" s="170">
        <f>U25+25</f>
        <v>46350</v>
      </c>
    </row>
    <row r="26" spans="1:24" ht="31.5" x14ac:dyDescent="0.25">
      <c r="A26" s="161">
        <v>15</v>
      </c>
      <c r="B26" s="162" t="s">
        <v>127</v>
      </c>
      <c r="C26" s="24" t="s">
        <v>94</v>
      </c>
      <c r="D26" s="166">
        <f>3456000+4032000+61560000+3000000</f>
        <v>72048000</v>
      </c>
      <c r="E26" s="93"/>
      <c r="F26" s="24"/>
      <c r="G26" s="20"/>
      <c r="H26" s="20"/>
      <c r="I26" s="20"/>
      <c r="J26" s="20" t="s">
        <v>99</v>
      </c>
      <c r="K26" s="24" t="s">
        <v>121</v>
      </c>
      <c r="L26" s="167" t="s">
        <v>101</v>
      </c>
      <c r="M26" s="20" t="s">
        <v>104</v>
      </c>
      <c r="N26" s="27" t="s">
        <v>106</v>
      </c>
      <c r="O26" s="95" t="s">
        <v>107</v>
      </c>
      <c r="P26" s="96" t="s">
        <v>109</v>
      </c>
      <c r="Q26" s="49">
        <f>R26-21</f>
        <v>46402</v>
      </c>
      <c r="R26" s="49">
        <f>S26-25</f>
        <v>46423</v>
      </c>
      <c r="S26" s="49">
        <f>T26-21</f>
        <v>46448</v>
      </c>
      <c r="T26" s="49">
        <f>U26-30</f>
        <v>46469</v>
      </c>
      <c r="U26" s="49">
        <v>46499</v>
      </c>
      <c r="V26" s="49">
        <f>3*365+U26</f>
        <v>47594</v>
      </c>
    </row>
    <row r="27" spans="1:24" ht="24.75" customHeight="1" x14ac:dyDescent="0.25">
      <c r="A27" s="161">
        <v>16</v>
      </c>
      <c r="B27" s="34" t="s">
        <v>128</v>
      </c>
      <c r="C27" s="24" t="s">
        <v>94</v>
      </c>
      <c r="D27" s="166">
        <f>27000000+24000000+20000000</f>
        <v>71000000</v>
      </c>
      <c r="E27" s="93"/>
      <c r="F27" s="24"/>
      <c r="G27" s="22"/>
      <c r="H27" s="22"/>
      <c r="I27" s="22"/>
      <c r="J27" s="20" t="s">
        <v>99</v>
      </c>
      <c r="K27" s="24" t="s">
        <v>121</v>
      </c>
      <c r="L27" s="96" t="s">
        <v>101</v>
      </c>
      <c r="M27" s="20" t="s">
        <v>104</v>
      </c>
      <c r="N27" s="27" t="s">
        <v>106</v>
      </c>
      <c r="O27" s="95" t="s">
        <v>107</v>
      </c>
      <c r="P27" s="96" t="s">
        <v>110</v>
      </c>
      <c r="Q27" s="48">
        <f>R27-25</f>
        <v>46269</v>
      </c>
      <c r="R27" s="170">
        <f>S27-20</f>
        <v>46294</v>
      </c>
      <c r="S27" s="170">
        <f>T27-18</f>
        <v>46314</v>
      </c>
      <c r="T27" s="170">
        <f>U27-13</f>
        <v>46332</v>
      </c>
      <c r="U27" s="170">
        <v>46345</v>
      </c>
      <c r="V27" s="170">
        <f>U27+90</f>
        <v>46435</v>
      </c>
    </row>
    <row r="28" spans="1:24" ht="24" customHeight="1" x14ac:dyDescent="0.25">
      <c r="A28" s="161">
        <v>17</v>
      </c>
      <c r="B28" s="153" t="s">
        <v>154</v>
      </c>
      <c r="C28" s="24" t="s">
        <v>94</v>
      </c>
      <c r="D28" s="166">
        <v>70000000</v>
      </c>
      <c r="E28" s="93"/>
      <c r="F28" s="24"/>
      <c r="G28" s="20"/>
      <c r="H28" s="20"/>
      <c r="I28" s="20"/>
      <c r="J28" s="20" t="s">
        <v>99</v>
      </c>
      <c r="K28" s="24" t="s">
        <v>121</v>
      </c>
      <c r="L28" s="167" t="s">
        <v>101</v>
      </c>
      <c r="M28" s="20" t="s">
        <v>104</v>
      </c>
      <c r="N28" s="27" t="s">
        <v>106</v>
      </c>
      <c r="O28" s="95" t="s">
        <v>107</v>
      </c>
      <c r="P28" s="96" t="s">
        <v>109</v>
      </c>
      <c r="Q28" s="49">
        <f>R28-15</f>
        <v>46237</v>
      </c>
      <c r="R28" s="49">
        <f>S28-15</f>
        <v>46252</v>
      </c>
      <c r="S28" s="49">
        <f>T28-14</f>
        <v>46267</v>
      </c>
      <c r="T28" s="49">
        <f>U28-12</f>
        <v>46281</v>
      </c>
      <c r="U28" s="49">
        <v>46293</v>
      </c>
      <c r="V28" s="48">
        <f>3*365+U28</f>
        <v>47388</v>
      </c>
    </row>
    <row r="29" spans="1:24" ht="24" customHeight="1" x14ac:dyDescent="0.3">
      <c r="A29" s="161">
        <v>18</v>
      </c>
      <c r="B29" s="43" t="s">
        <v>156</v>
      </c>
      <c r="C29" s="24" t="s">
        <v>94</v>
      </c>
      <c r="D29" s="166">
        <f>63120000+7000000</f>
        <v>70120000</v>
      </c>
      <c r="E29" s="93"/>
      <c r="F29" s="24"/>
      <c r="G29" s="22"/>
      <c r="H29" s="22"/>
      <c r="I29" s="22"/>
      <c r="J29" s="20" t="s">
        <v>99</v>
      </c>
      <c r="K29" s="24" t="s">
        <v>121</v>
      </c>
      <c r="L29" s="96" t="s">
        <v>102</v>
      </c>
      <c r="M29" s="20" t="s">
        <v>104</v>
      </c>
      <c r="N29" s="27" t="s">
        <v>106</v>
      </c>
      <c r="O29" s="95" t="s">
        <v>107</v>
      </c>
      <c r="P29" s="96" t="s">
        <v>110</v>
      </c>
      <c r="Q29" s="48">
        <f>R29-25</f>
        <v>46269</v>
      </c>
      <c r="R29" s="170">
        <f>S29-20</f>
        <v>46294</v>
      </c>
      <c r="S29" s="170">
        <f>T29-18</f>
        <v>46314</v>
      </c>
      <c r="T29" s="170">
        <f>U29-13</f>
        <v>46332</v>
      </c>
      <c r="U29" s="170">
        <v>46345</v>
      </c>
      <c r="V29" s="170">
        <f>U29+90</f>
        <v>46435</v>
      </c>
      <c r="X29" s="85"/>
    </row>
    <row r="30" spans="1:24" ht="23.25" customHeight="1" x14ac:dyDescent="0.25">
      <c r="A30" s="161">
        <v>19</v>
      </c>
      <c r="B30" s="34" t="s">
        <v>95</v>
      </c>
      <c r="C30" s="24" t="s">
        <v>94</v>
      </c>
      <c r="D30" s="166">
        <v>50000000</v>
      </c>
      <c r="E30" s="93"/>
      <c r="F30" s="24"/>
      <c r="G30" s="20"/>
      <c r="H30" s="20"/>
      <c r="I30" s="20"/>
      <c r="J30" s="20" t="s">
        <v>99</v>
      </c>
      <c r="K30" s="24" t="s">
        <v>121</v>
      </c>
      <c r="L30" s="167" t="s">
        <v>102</v>
      </c>
      <c r="M30" s="20" t="s">
        <v>104</v>
      </c>
      <c r="N30" s="27" t="s">
        <v>106</v>
      </c>
      <c r="O30" s="95" t="s">
        <v>107</v>
      </c>
      <c r="P30" s="96" t="s">
        <v>110</v>
      </c>
      <c r="Q30" s="49">
        <f>R30-7</f>
        <v>46323</v>
      </c>
      <c r="R30" s="49">
        <f>S30-15</f>
        <v>46330</v>
      </c>
      <c r="S30" s="49">
        <f t="shared" ref="S30" si="3">T30-7</f>
        <v>46345</v>
      </c>
      <c r="T30" s="49">
        <f t="shared" ref="T30" si="4">U30-14</f>
        <v>46352</v>
      </c>
      <c r="U30" s="49">
        <v>46366</v>
      </c>
      <c r="V30" s="49">
        <f>U30+11</f>
        <v>46377</v>
      </c>
    </row>
    <row r="31" spans="1:24" ht="24.75" customHeight="1" x14ac:dyDescent="0.25">
      <c r="A31" s="161">
        <v>20</v>
      </c>
      <c r="B31" s="34" t="s">
        <v>129</v>
      </c>
      <c r="C31" s="24" t="s">
        <v>94</v>
      </c>
      <c r="D31" s="166">
        <v>50000000</v>
      </c>
      <c r="E31" s="93"/>
      <c r="F31" s="24"/>
      <c r="G31" s="22"/>
      <c r="H31" s="22"/>
      <c r="I31" s="22"/>
      <c r="J31" s="20" t="s">
        <v>99</v>
      </c>
      <c r="K31" s="24" t="s">
        <v>121</v>
      </c>
      <c r="L31" s="96" t="s">
        <v>101</v>
      </c>
      <c r="M31" s="20" t="s">
        <v>104</v>
      </c>
      <c r="N31" s="27" t="s">
        <v>106</v>
      </c>
      <c r="O31" s="95" t="s">
        <v>107</v>
      </c>
      <c r="P31" s="96" t="s">
        <v>110</v>
      </c>
      <c r="Q31" s="48">
        <f>R31-25</f>
        <v>46269</v>
      </c>
      <c r="R31" s="170">
        <f>S31-20</f>
        <v>46294</v>
      </c>
      <c r="S31" s="170">
        <f>T31-18</f>
        <v>46314</v>
      </c>
      <c r="T31" s="170">
        <f>U31-13</f>
        <v>46332</v>
      </c>
      <c r="U31" s="170">
        <v>46345</v>
      </c>
      <c r="V31" s="170">
        <f>U31+90</f>
        <v>46435</v>
      </c>
    </row>
    <row r="32" spans="1:24" ht="31.5" x14ac:dyDescent="0.25">
      <c r="A32" s="161">
        <v>21</v>
      </c>
      <c r="B32" s="34" t="s">
        <v>160</v>
      </c>
      <c r="C32" s="24" t="s">
        <v>94</v>
      </c>
      <c r="D32" s="166">
        <f>42900000+7000000</f>
        <v>49900000</v>
      </c>
      <c r="E32" s="93"/>
      <c r="F32" s="24"/>
      <c r="G32" s="22"/>
      <c r="H32" s="22"/>
      <c r="I32" s="22"/>
      <c r="J32" s="20" t="s">
        <v>99</v>
      </c>
      <c r="K32" s="24" t="s">
        <v>121</v>
      </c>
      <c r="L32" s="96" t="s">
        <v>102</v>
      </c>
      <c r="M32" s="20" t="s">
        <v>104</v>
      </c>
      <c r="N32" s="27" t="s">
        <v>106</v>
      </c>
      <c r="O32" s="95" t="s">
        <v>107</v>
      </c>
      <c r="P32" s="96" t="s">
        <v>110</v>
      </c>
      <c r="Q32" s="48">
        <f>R32-10</f>
        <v>46447</v>
      </c>
      <c r="R32" s="170">
        <f>S32-20</f>
        <v>46457</v>
      </c>
      <c r="S32" s="170">
        <f>T32-15</f>
        <v>46477</v>
      </c>
      <c r="T32" s="170">
        <f>U32-11</f>
        <v>46492</v>
      </c>
      <c r="U32" s="170">
        <v>46503</v>
      </c>
      <c r="V32" s="170">
        <f>U32+25</f>
        <v>46528</v>
      </c>
    </row>
    <row r="33" spans="1:22" ht="21" customHeight="1" x14ac:dyDescent="0.25">
      <c r="A33" s="161">
        <v>22</v>
      </c>
      <c r="B33" s="34" t="s">
        <v>130</v>
      </c>
      <c r="C33" s="24" t="s">
        <v>94</v>
      </c>
      <c r="D33" s="166">
        <v>43000000</v>
      </c>
      <c r="E33" s="93"/>
      <c r="F33" s="24"/>
      <c r="G33" s="20"/>
      <c r="H33" s="20"/>
      <c r="I33" s="20"/>
      <c r="J33" s="20" t="s">
        <v>99</v>
      </c>
      <c r="K33" s="24" t="s">
        <v>121</v>
      </c>
      <c r="L33" s="167" t="s">
        <v>102</v>
      </c>
      <c r="M33" s="20" t="s">
        <v>104</v>
      </c>
      <c r="N33" s="27" t="s">
        <v>106</v>
      </c>
      <c r="O33" s="95" t="s">
        <v>107</v>
      </c>
      <c r="P33" s="96" t="s">
        <v>108</v>
      </c>
      <c r="Q33" s="48">
        <f>R33-25</f>
        <v>46251</v>
      </c>
      <c r="R33" s="170">
        <f>S33-20</f>
        <v>46276</v>
      </c>
      <c r="S33" s="170">
        <f>T33-18</f>
        <v>46296</v>
      </c>
      <c r="T33" s="170">
        <f>U33-11</f>
        <v>46314</v>
      </c>
      <c r="U33" s="170">
        <v>46325</v>
      </c>
      <c r="V33" s="170">
        <f>U33+70</f>
        <v>46395</v>
      </c>
    </row>
    <row r="34" spans="1:22" ht="31.5" x14ac:dyDescent="0.25">
      <c r="A34" s="161">
        <v>23</v>
      </c>
      <c r="B34" s="34" t="s">
        <v>131</v>
      </c>
      <c r="C34" s="24" t="s">
        <v>94</v>
      </c>
      <c r="D34" s="166">
        <v>30000000</v>
      </c>
      <c r="E34" s="93"/>
      <c r="F34" s="24"/>
      <c r="G34" s="20"/>
      <c r="H34" s="20"/>
      <c r="I34" s="20"/>
      <c r="J34" s="20" t="s">
        <v>99</v>
      </c>
      <c r="K34" s="24" t="s">
        <v>121</v>
      </c>
      <c r="L34" s="167" t="s">
        <v>102</v>
      </c>
      <c r="M34" s="20" t="s">
        <v>104</v>
      </c>
      <c r="N34" s="27" t="s">
        <v>106</v>
      </c>
      <c r="O34" s="95" t="s">
        <v>106</v>
      </c>
      <c r="P34" s="96" t="s">
        <v>109</v>
      </c>
      <c r="Q34" s="49">
        <f>R34-15</f>
        <v>46239</v>
      </c>
      <c r="R34" s="49">
        <f>S34-15</f>
        <v>46254</v>
      </c>
      <c r="S34" s="49">
        <f>T34-14</f>
        <v>46269</v>
      </c>
      <c r="T34" s="49">
        <f>U34-12</f>
        <v>46283</v>
      </c>
      <c r="U34" s="49">
        <v>46295</v>
      </c>
      <c r="V34" s="48">
        <f>U34+31</f>
        <v>46326</v>
      </c>
    </row>
    <row r="35" spans="1:22" ht="31.5" x14ac:dyDescent="0.25">
      <c r="A35" s="161">
        <v>24</v>
      </c>
      <c r="B35" s="43" t="s">
        <v>132</v>
      </c>
      <c r="C35" s="24" t="s">
        <v>94</v>
      </c>
      <c r="D35" s="166">
        <f>28000000</f>
        <v>28000000</v>
      </c>
      <c r="E35" s="93"/>
      <c r="F35" s="24"/>
      <c r="G35" s="22"/>
      <c r="H35" s="22"/>
      <c r="I35" s="22"/>
      <c r="J35" s="20" t="s">
        <v>99</v>
      </c>
      <c r="K35" s="24" t="s">
        <v>121</v>
      </c>
      <c r="L35" s="96" t="s">
        <v>102</v>
      </c>
      <c r="M35" s="20" t="s">
        <v>104</v>
      </c>
      <c r="N35" s="27" t="s">
        <v>106</v>
      </c>
      <c r="O35" s="95" t="s">
        <v>107</v>
      </c>
      <c r="P35" s="96" t="s">
        <v>108</v>
      </c>
      <c r="Q35" s="49">
        <f>R35-15</f>
        <v>46231</v>
      </c>
      <c r="R35" s="49">
        <f>S35-15</f>
        <v>46246</v>
      </c>
      <c r="S35" s="49">
        <f>T35-14</f>
        <v>46261</v>
      </c>
      <c r="T35" s="49">
        <f>U35-15</f>
        <v>46275</v>
      </c>
      <c r="U35" s="49">
        <v>46290</v>
      </c>
      <c r="V35" s="48">
        <f>U35+10</f>
        <v>46300</v>
      </c>
    </row>
    <row r="36" spans="1:22" ht="31.5" x14ac:dyDescent="0.25">
      <c r="A36" s="161">
        <v>25</v>
      </c>
      <c r="B36" s="34" t="s">
        <v>96</v>
      </c>
      <c r="C36" s="24" t="s">
        <v>94</v>
      </c>
      <c r="D36" s="166">
        <v>25000000</v>
      </c>
      <c r="E36" s="93"/>
      <c r="F36" s="24"/>
      <c r="G36" s="20"/>
      <c r="H36" s="20"/>
      <c r="I36" s="20"/>
      <c r="J36" s="20" t="s">
        <v>99</v>
      </c>
      <c r="K36" s="24" t="s">
        <v>121</v>
      </c>
      <c r="L36" s="167" t="s">
        <v>102</v>
      </c>
      <c r="M36" s="20" t="s">
        <v>104</v>
      </c>
      <c r="N36" s="27" t="s">
        <v>106</v>
      </c>
      <c r="O36" s="95" t="s">
        <v>107</v>
      </c>
      <c r="P36" s="96" t="s">
        <v>108</v>
      </c>
      <c r="Q36" s="49">
        <f>R36-10</f>
        <v>46248</v>
      </c>
      <c r="R36" s="49">
        <f>S36-10</f>
        <v>46258</v>
      </c>
      <c r="S36" s="49">
        <f>T36-15</f>
        <v>46268</v>
      </c>
      <c r="T36" s="49">
        <f>U36-12</f>
        <v>46283</v>
      </c>
      <c r="U36" s="49">
        <v>46295</v>
      </c>
      <c r="V36" s="49">
        <f>U36+15</f>
        <v>46310</v>
      </c>
    </row>
    <row r="37" spans="1:22" s="164" customFormat="1" ht="31.5" x14ac:dyDescent="0.25">
      <c r="A37" s="161">
        <v>26</v>
      </c>
      <c r="B37" s="153" t="s">
        <v>133</v>
      </c>
      <c r="C37" s="24" t="s">
        <v>94</v>
      </c>
      <c r="D37" s="166">
        <v>24000000</v>
      </c>
      <c r="E37" s="93"/>
      <c r="F37" s="24"/>
      <c r="G37" s="22"/>
      <c r="H37" s="22"/>
      <c r="I37" s="22"/>
      <c r="J37" s="20" t="s">
        <v>99</v>
      </c>
      <c r="K37" s="24" t="s">
        <v>121</v>
      </c>
      <c r="L37" s="96" t="s">
        <v>101</v>
      </c>
      <c r="M37" s="20" t="s">
        <v>104</v>
      </c>
      <c r="N37" s="27" t="s">
        <v>106</v>
      </c>
      <c r="O37" s="95" t="s">
        <v>107</v>
      </c>
      <c r="P37" s="96" t="s">
        <v>110</v>
      </c>
      <c r="Q37" s="49">
        <f>R37-10</f>
        <v>46301</v>
      </c>
      <c r="R37" s="49">
        <f>S37-12</f>
        <v>46311</v>
      </c>
      <c r="S37" s="49">
        <f>T37-15</f>
        <v>46323</v>
      </c>
      <c r="T37" s="49">
        <f>U37-15</f>
        <v>46338</v>
      </c>
      <c r="U37" s="49">
        <v>46353</v>
      </c>
      <c r="V37" s="49">
        <f>3*365+U37</f>
        <v>47448</v>
      </c>
    </row>
    <row r="38" spans="1:22" s="164" customFormat="1" ht="31.5" x14ac:dyDescent="0.25">
      <c r="A38" s="161">
        <v>27</v>
      </c>
      <c r="B38" s="97" t="s">
        <v>134</v>
      </c>
      <c r="C38" s="24" t="s">
        <v>98</v>
      </c>
      <c r="D38" s="166">
        <v>20000000</v>
      </c>
      <c r="E38" s="93"/>
      <c r="F38" s="24"/>
      <c r="G38" s="20"/>
      <c r="H38" s="20"/>
      <c r="I38" s="20"/>
      <c r="J38" s="20" t="s">
        <v>99</v>
      </c>
      <c r="K38" s="24" t="s">
        <v>121</v>
      </c>
      <c r="L38" s="167" t="s">
        <v>102</v>
      </c>
      <c r="M38" s="20" t="s">
        <v>104</v>
      </c>
      <c r="N38" s="27" t="s">
        <v>106</v>
      </c>
      <c r="O38" s="95" t="s">
        <v>107</v>
      </c>
      <c r="P38" s="96" t="s">
        <v>108</v>
      </c>
      <c r="Q38" s="49">
        <f>R38-10</f>
        <v>46321</v>
      </c>
      <c r="R38" s="49">
        <f>S38-12</f>
        <v>46331</v>
      </c>
      <c r="S38" s="49">
        <f>T38-15</f>
        <v>46343</v>
      </c>
      <c r="T38" s="49">
        <f>U38-15</f>
        <v>46358</v>
      </c>
      <c r="U38" s="49">
        <v>46373</v>
      </c>
      <c r="V38" s="49">
        <f>U38+35</f>
        <v>46408</v>
      </c>
    </row>
    <row r="39" spans="1:22" s="164" customFormat="1" ht="31.5" x14ac:dyDescent="0.25">
      <c r="A39" s="161">
        <v>28</v>
      </c>
      <c r="B39" s="34" t="s">
        <v>135</v>
      </c>
      <c r="C39" s="24" t="s">
        <v>94</v>
      </c>
      <c r="D39" s="166">
        <v>14500000</v>
      </c>
      <c r="E39" s="93"/>
      <c r="F39" s="24"/>
      <c r="G39" s="22"/>
      <c r="H39" s="22"/>
      <c r="I39" s="22"/>
      <c r="J39" s="20" t="s">
        <v>99</v>
      </c>
      <c r="K39" s="24" t="s">
        <v>121</v>
      </c>
      <c r="L39" s="96" t="s">
        <v>101</v>
      </c>
      <c r="M39" s="20" t="s">
        <v>104</v>
      </c>
      <c r="N39" s="27" t="s">
        <v>106</v>
      </c>
      <c r="O39" s="95" t="s">
        <v>107</v>
      </c>
      <c r="P39" s="96" t="s">
        <v>109</v>
      </c>
      <c r="Q39" s="49">
        <f>R39-10</f>
        <v>46398</v>
      </c>
      <c r="R39" s="49">
        <f>S39-12</f>
        <v>46408</v>
      </c>
      <c r="S39" s="49">
        <f>T39-13</f>
        <v>46420</v>
      </c>
      <c r="T39" s="49">
        <f>U39-10</f>
        <v>46433</v>
      </c>
      <c r="U39" s="49">
        <v>46443</v>
      </c>
      <c r="V39" s="49">
        <f>U39+5</f>
        <v>46448</v>
      </c>
    </row>
    <row r="40" spans="1:22" s="164" customFormat="1" ht="31.5" x14ac:dyDescent="0.25">
      <c r="A40" s="161">
        <v>29</v>
      </c>
      <c r="B40" s="34" t="s">
        <v>136</v>
      </c>
      <c r="C40" s="24" t="s">
        <v>94</v>
      </c>
      <c r="D40" s="166">
        <v>12350000</v>
      </c>
      <c r="E40" s="93"/>
      <c r="F40" s="24"/>
      <c r="G40" s="20"/>
      <c r="H40" s="20"/>
      <c r="I40" s="20"/>
      <c r="J40" s="20" t="s">
        <v>99</v>
      </c>
      <c r="K40" s="24" t="s">
        <v>121</v>
      </c>
      <c r="L40" s="167" t="s">
        <v>102</v>
      </c>
      <c r="M40" s="20" t="s">
        <v>104</v>
      </c>
      <c r="N40" s="27" t="s">
        <v>106</v>
      </c>
      <c r="O40" s="95" t="s">
        <v>107</v>
      </c>
      <c r="P40" s="96" t="s">
        <v>110</v>
      </c>
      <c r="Q40" s="49">
        <f>R40-15</f>
        <v>46343</v>
      </c>
      <c r="R40" s="49">
        <f>S40-12</f>
        <v>46358</v>
      </c>
      <c r="S40" s="49">
        <f>T40-15</f>
        <v>46370</v>
      </c>
      <c r="T40" s="49">
        <f>U40-15</f>
        <v>46385</v>
      </c>
      <c r="U40" s="49">
        <v>46400</v>
      </c>
      <c r="V40" s="49">
        <f>U40+20</f>
        <v>46420</v>
      </c>
    </row>
    <row r="41" spans="1:22" s="164" customFormat="1" ht="31.5" x14ac:dyDescent="0.25">
      <c r="A41" s="161">
        <v>30</v>
      </c>
      <c r="B41" s="34" t="s">
        <v>137</v>
      </c>
      <c r="C41" s="24" t="s">
        <v>94</v>
      </c>
      <c r="D41" s="166">
        <v>10000000</v>
      </c>
      <c r="E41" s="93"/>
      <c r="F41" s="24"/>
      <c r="G41" s="22"/>
      <c r="H41" s="22"/>
      <c r="I41" s="22"/>
      <c r="J41" s="20" t="s">
        <v>99</v>
      </c>
      <c r="K41" s="24" t="s">
        <v>138</v>
      </c>
      <c r="L41" s="96" t="s">
        <v>102</v>
      </c>
      <c r="M41" s="20" t="s">
        <v>104</v>
      </c>
      <c r="N41" s="27" t="s">
        <v>106</v>
      </c>
      <c r="O41" s="95" t="s">
        <v>106</v>
      </c>
      <c r="P41" s="96" t="s">
        <v>109</v>
      </c>
      <c r="Q41" s="49">
        <f>R41-6</f>
        <v>46493</v>
      </c>
      <c r="R41" s="49">
        <f>U41-7</f>
        <v>46499</v>
      </c>
      <c r="S41" s="49" t="s">
        <v>109</v>
      </c>
      <c r="T41" s="49" t="s">
        <v>109</v>
      </c>
      <c r="U41" s="49">
        <v>46506</v>
      </c>
      <c r="V41" s="49">
        <f>U41+20</f>
        <v>46526</v>
      </c>
    </row>
    <row r="42" spans="1:22" s="164" customFormat="1" ht="31.5" x14ac:dyDescent="0.25">
      <c r="A42" s="161">
        <v>31</v>
      </c>
      <c r="B42" s="43" t="s">
        <v>139</v>
      </c>
      <c r="C42" s="24" t="s">
        <v>94</v>
      </c>
      <c r="D42" s="166">
        <v>7000000</v>
      </c>
      <c r="E42" s="93"/>
      <c r="F42" s="24"/>
      <c r="G42" s="20"/>
      <c r="H42" s="20"/>
      <c r="I42" s="20"/>
      <c r="J42" s="20" t="s">
        <v>99</v>
      </c>
      <c r="K42" s="24" t="s">
        <v>140</v>
      </c>
      <c r="L42" s="167" t="s">
        <v>102</v>
      </c>
      <c r="M42" s="20" t="s">
        <v>104</v>
      </c>
      <c r="N42" s="27" t="s">
        <v>106</v>
      </c>
      <c r="O42" s="95" t="s">
        <v>107</v>
      </c>
      <c r="P42" s="96" t="s">
        <v>110</v>
      </c>
      <c r="Q42" s="49">
        <f>R42-4</f>
        <v>46433</v>
      </c>
      <c r="R42" s="49">
        <f>U42-7</f>
        <v>46437</v>
      </c>
      <c r="S42" s="49" t="s">
        <v>109</v>
      </c>
      <c r="T42" s="49" t="s">
        <v>109</v>
      </c>
      <c r="U42" s="49">
        <v>46444</v>
      </c>
      <c r="V42" s="49">
        <f>U42+3</f>
        <v>46447</v>
      </c>
    </row>
    <row r="43" spans="1:22" s="164" customFormat="1" ht="31.5" x14ac:dyDescent="0.25">
      <c r="A43" s="161">
        <v>32</v>
      </c>
      <c r="B43" s="43" t="s">
        <v>141</v>
      </c>
      <c r="C43" s="24" t="s">
        <v>94</v>
      </c>
      <c r="D43" s="166">
        <v>5531341</v>
      </c>
      <c r="E43" s="93"/>
      <c r="F43" s="24"/>
      <c r="G43" s="22"/>
      <c r="H43" s="22"/>
      <c r="I43" s="22"/>
      <c r="J43" s="20" t="s">
        <v>99</v>
      </c>
      <c r="K43" s="24" t="s">
        <v>140</v>
      </c>
      <c r="L43" s="96" t="s">
        <v>102</v>
      </c>
      <c r="M43" s="20" t="s">
        <v>104</v>
      </c>
      <c r="N43" s="27" t="s">
        <v>106</v>
      </c>
      <c r="O43" s="95" t="s">
        <v>107</v>
      </c>
      <c r="P43" s="96" t="s">
        <v>109</v>
      </c>
      <c r="Q43" s="49">
        <f>R43-5</f>
        <v>46489</v>
      </c>
      <c r="R43" s="49">
        <f>U43-5</f>
        <v>46494</v>
      </c>
      <c r="S43" s="49" t="s">
        <v>109</v>
      </c>
      <c r="T43" s="49" t="s">
        <v>109</v>
      </c>
      <c r="U43" s="49">
        <v>46499</v>
      </c>
      <c r="V43" s="49">
        <f>3*365+U43</f>
        <v>47594</v>
      </c>
    </row>
    <row r="44" spans="1:22" s="164" customFormat="1" ht="31.5" x14ac:dyDescent="0.25">
      <c r="A44" s="161">
        <v>33</v>
      </c>
      <c r="B44" s="43" t="s">
        <v>142</v>
      </c>
      <c r="C44" s="24" t="s">
        <v>94</v>
      </c>
      <c r="D44" s="166">
        <v>5000000</v>
      </c>
      <c r="E44" s="93"/>
      <c r="F44" s="24"/>
      <c r="G44" s="20"/>
      <c r="H44" s="20"/>
      <c r="I44" s="20"/>
      <c r="J44" s="20" t="s">
        <v>99</v>
      </c>
      <c r="K44" s="24" t="s">
        <v>140</v>
      </c>
      <c r="L44" s="167" t="s">
        <v>101</v>
      </c>
      <c r="M44" s="20" t="s">
        <v>104</v>
      </c>
      <c r="N44" s="27" t="s">
        <v>106</v>
      </c>
      <c r="O44" s="95" t="s">
        <v>107</v>
      </c>
      <c r="P44" s="96" t="s">
        <v>109</v>
      </c>
      <c r="Q44" s="49">
        <f>R44-5</f>
        <v>46489</v>
      </c>
      <c r="R44" s="49">
        <f>U44-5</f>
        <v>46494</v>
      </c>
      <c r="S44" s="49" t="s">
        <v>109</v>
      </c>
      <c r="T44" s="49" t="s">
        <v>109</v>
      </c>
      <c r="U44" s="49">
        <v>46499</v>
      </c>
      <c r="V44" s="49">
        <f>3*365+U44</f>
        <v>47594</v>
      </c>
    </row>
    <row r="45" spans="1:22" s="164" customFormat="1" ht="31.5" x14ac:dyDescent="0.25">
      <c r="A45" s="161">
        <v>34</v>
      </c>
      <c r="B45" s="34" t="s">
        <v>97</v>
      </c>
      <c r="C45" s="24" t="s">
        <v>94</v>
      </c>
      <c r="D45" s="166">
        <v>5000000</v>
      </c>
      <c r="E45" s="93"/>
      <c r="F45" s="24"/>
      <c r="G45" s="22"/>
      <c r="H45" s="22"/>
      <c r="I45" s="22"/>
      <c r="J45" s="20" t="s">
        <v>99</v>
      </c>
      <c r="K45" s="24" t="s">
        <v>140</v>
      </c>
      <c r="L45" s="96" t="s">
        <v>102</v>
      </c>
      <c r="M45" s="20" t="s">
        <v>104</v>
      </c>
      <c r="N45" s="27" t="s">
        <v>106</v>
      </c>
      <c r="O45" s="95" t="s">
        <v>107</v>
      </c>
      <c r="P45" s="96" t="s">
        <v>108</v>
      </c>
      <c r="Q45" s="49">
        <f>R45-5</f>
        <v>46283</v>
      </c>
      <c r="R45" s="49">
        <f>U45-5</f>
        <v>46288</v>
      </c>
      <c r="S45" s="49" t="s">
        <v>109</v>
      </c>
      <c r="T45" s="49" t="s">
        <v>109</v>
      </c>
      <c r="U45" s="49">
        <v>46293</v>
      </c>
      <c r="V45" s="49">
        <f>U45+30</f>
        <v>46323</v>
      </c>
    </row>
    <row r="46" spans="1:22" s="164" customFormat="1" ht="31.5" x14ac:dyDescent="0.25">
      <c r="A46" s="161">
        <v>35</v>
      </c>
      <c r="B46" s="34" t="s">
        <v>143</v>
      </c>
      <c r="C46" s="24" t="s">
        <v>98</v>
      </c>
      <c r="D46" s="166">
        <v>5000000</v>
      </c>
      <c r="E46" s="93"/>
      <c r="F46" s="24"/>
      <c r="G46" s="20"/>
      <c r="H46" s="20"/>
      <c r="I46" s="20"/>
      <c r="J46" s="20" t="s">
        <v>99</v>
      </c>
      <c r="K46" s="24" t="s">
        <v>138</v>
      </c>
      <c r="L46" s="167" t="s">
        <v>101</v>
      </c>
      <c r="M46" s="20" t="s">
        <v>104</v>
      </c>
      <c r="N46" s="27" t="s">
        <v>106</v>
      </c>
      <c r="O46" s="95" t="s">
        <v>107</v>
      </c>
      <c r="P46" s="96" t="s">
        <v>110</v>
      </c>
      <c r="Q46" s="49">
        <f>R46-3</f>
        <v>46336</v>
      </c>
      <c r="R46" s="49">
        <f>U46-5</f>
        <v>46339</v>
      </c>
      <c r="S46" s="49" t="s">
        <v>109</v>
      </c>
      <c r="T46" s="49" t="s">
        <v>109</v>
      </c>
      <c r="U46" s="49">
        <v>46344</v>
      </c>
      <c r="V46" s="49">
        <f>U46+20</f>
        <v>46364</v>
      </c>
    </row>
    <row r="47" spans="1:22" s="164" customFormat="1" ht="31.5" x14ac:dyDescent="0.25">
      <c r="A47" s="161">
        <v>36</v>
      </c>
      <c r="B47" s="34" t="s">
        <v>144</v>
      </c>
      <c r="C47" s="24" t="s">
        <v>94</v>
      </c>
      <c r="D47" s="166">
        <v>4000000</v>
      </c>
      <c r="E47" s="93"/>
      <c r="F47" s="24"/>
      <c r="G47" s="22"/>
      <c r="H47" s="22"/>
      <c r="I47" s="22"/>
      <c r="J47" s="20" t="s">
        <v>99</v>
      </c>
      <c r="K47" s="24" t="s">
        <v>138</v>
      </c>
      <c r="L47" s="96" t="s">
        <v>101</v>
      </c>
      <c r="M47" s="20" t="s">
        <v>104</v>
      </c>
      <c r="N47" s="27" t="s">
        <v>106</v>
      </c>
      <c r="O47" s="95" t="s">
        <v>107</v>
      </c>
      <c r="P47" s="96" t="s">
        <v>109</v>
      </c>
      <c r="Q47" s="49">
        <f>R47-3</f>
        <v>46468</v>
      </c>
      <c r="R47" s="49">
        <f>U47-7</f>
        <v>46471</v>
      </c>
      <c r="S47" s="49" t="s">
        <v>109</v>
      </c>
      <c r="T47" s="49" t="s">
        <v>109</v>
      </c>
      <c r="U47" s="49">
        <v>46478</v>
      </c>
      <c r="V47" s="49">
        <f>U47+35</f>
        <v>46513</v>
      </c>
    </row>
    <row r="48" spans="1:22" s="164" customFormat="1" ht="31.5" x14ac:dyDescent="0.25">
      <c r="A48" s="161">
        <v>37</v>
      </c>
      <c r="B48" s="34" t="s">
        <v>145</v>
      </c>
      <c r="C48" s="24" t="s">
        <v>94</v>
      </c>
      <c r="D48" s="166">
        <v>2600000</v>
      </c>
      <c r="E48" s="93"/>
      <c r="F48" s="93"/>
      <c r="G48" s="22"/>
      <c r="H48" s="22"/>
      <c r="I48" s="22"/>
      <c r="J48" s="20" t="s">
        <v>99</v>
      </c>
      <c r="K48" s="93" t="s">
        <v>138</v>
      </c>
      <c r="L48" s="96" t="s">
        <v>101</v>
      </c>
      <c r="M48" s="20" t="s">
        <v>104</v>
      </c>
      <c r="N48" s="27" t="s">
        <v>106</v>
      </c>
      <c r="O48" s="95" t="s">
        <v>106</v>
      </c>
      <c r="P48" s="96" t="s">
        <v>109</v>
      </c>
      <c r="Q48" s="49">
        <f>R48-3</f>
        <v>46357</v>
      </c>
      <c r="R48" s="49">
        <f>U48-7</f>
        <v>46360</v>
      </c>
      <c r="S48" s="49" t="s">
        <v>109</v>
      </c>
      <c r="T48" s="49" t="s">
        <v>109</v>
      </c>
      <c r="U48" s="49">
        <v>46367</v>
      </c>
      <c r="V48" s="49">
        <f>U48+60</f>
        <v>46427</v>
      </c>
    </row>
    <row r="49" spans="1:22" s="164" customFormat="1" ht="16.5" x14ac:dyDescent="0.3">
      <c r="A49" s="161"/>
      <c r="B49" s="93"/>
      <c r="C49" s="163"/>
      <c r="D49" s="100">
        <f>SUBTOTAL(109,D12:D48)</f>
        <v>32336973241</v>
      </c>
      <c r="E49" s="20"/>
      <c r="F49" s="20"/>
      <c r="G49" s="20"/>
      <c r="H49" s="20"/>
      <c r="I49" s="20"/>
      <c r="J49" s="167"/>
      <c r="K49" s="167"/>
      <c r="L49" s="167"/>
      <c r="M49" s="167"/>
      <c r="N49" s="168"/>
      <c r="O49" s="168"/>
      <c r="P49" s="167"/>
      <c r="Q49" s="171"/>
      <c r="R49" s="171"/>
      <c r="S49" s="171"/>
      <c r="T49" s="171"/>
      <c r="U49" s="172"/>
      <c r="V49" s="99"/>
    </row>
    <row r="50" spans="1:22" x14ac:dyDescent="0.25">
      <c r="A50" s="161"/>
      <c r="B50" s="93"/>
      <c r="C50" s="163"/>
      <c r="D50" s="27"/>
      <c r="E50" s="20"/>
      <c r="F50" s="20"/>
      <c r="G50" s="20"/>
      <c r="H50" s="20"/>
      <c r="I50" s="20"/>
      <c r="J50" s="167"/>
      <c r="K50" s="167"/>
      <c r="L50" s="167"/>
      <c r="M50" s="167"/>
      <c r="N50" s="168"/>
      <c r="O50" s="168"/>
      <c r="P50" s="167"/>
      <c r="Q50" s="171"/>
      <c r="R50" s="171"/>
      <c r="S50" s="171"/>
      <c r="T50" s="171"/>
      <c r="U50" s="172"/>
      <c r="V50" s="99"/>
    </row>
    <row r="51" spans="1:22" x14ac:dyDescent="0.25">
      <c r="A51" s="161"/>
      <c r="B51" s="93"/>
      <c r="C51" s="163"/>
      <c r="D51" s="28"/>
      <c r="E51" s="22"/>
      <c r="F51" s="22"/>
      <c r="G51" s="22"/>
      <c r="H51" s="22"/>
      <c r="I51" s="22"/>
      <c r="J51" s="20"/>
      <c r="K51" s="20"/>
      <c r="L51" s="96"/>
      <c r="M51" s="20"/>
      <c r="N51" s="95"/>
      <c r="O51" s="95"/>
      <c r="P51" s="96"/>
      <c r="Q51" s="98"/>
      <c r="R51" s="98"/>
      <c r="S51" s="98"/>
      <c r="T51" s="98"/>
      <c r="U51" s="99"/>
      <c r="V51" s="99"/>
    </row>
    <row r="52" spans="1:22" x14ac:dyDescent="0.25">
      <c r="A52" s="161"/>
      <c r="B52" s="93"/>
      <c r="C52" s="163"/>
      <c r="D52" s="27"/>
      <c r="E52" s="20"/>
      <c r="F52" s="20"/>
      <c r="G52" s="20"/>
      <c r="H52" s="20"/>
      <c r="I52" s="20"/>
      <c r="J52" s="167"/>
      <c r="K52" s="167"/>
      <c r="L52" s="167"/>
      <c r="M52" s="167"/>
      <c r="N52" s="168"/>
      <c r="O52" s="168"/>
      <c r="P52" s="167"/>
      <c r="Q52" s="171"/>
      <c r="R52" s="171"/>
      <c r="S52" s="171"/>
      <c r="T52" s="171"/>
      <c r="U52" s="172"/>
      <c r="V52" s="99"/>
    </row>
    <row r="53" spans="1:22" ht="16.5" thickBot="1" x14ac:dyDescent="0.3">
      <c r="A53" s="161"/>
      <c r="B53" s="93"/>
      <c r="C53" s="163"/>
      <c r="D53" s="28"/>
      <c r="E53" s="22"/>
      <c r="F53" s="22"/>
      <c r="G53" s="22"/>
      <c r="H53" s="22"/>
      <c r="I53" s="22"/>
      <c r="J53" s="20"/>
      <c r="K53" s="20"/>
      <c r="L53" s="96"/>
      <c r="M53" s="20"/>
      <c r="N53" s="95"/>
      <c r="O53" s="95"/>
      <c r="P53" s="96"/>
      <c r="Q53" s="98"/>
      <c r="R53" s="98"/>
      <c r="S53" s="98"/>
      <c r="T53" s="98"/>
      <c r="U53" s="99"/>
      <c r="V53" s="99"/>
    </row>
    <row r="54" spans="1:22" ht="17.25" thickTop="1" x14ac:dyDescent="0.3">
      <c r="A54" s="173"/>
      <c r="B54" s="174" t="s">
        <v>10</v>
      </c>
      <c r="C54" s="175"/>
      <c r="D54" s="176" t="s">
        <v>7</v>
      </c>
      <c r="E54" s="158"/>
      <c r="F54" s="158"/>
      <c r="G54" s="158"/>
      <c r="H54" s="158"/>
      <c r="I54" s="158"/>
      <c r="J54" s="177"/>
      <c r="K54" s="177"/>
      <c r="L54" s="177"/>
      <c r="M54" s="177"/>
      <c r="N54" s="177"/>
      <c r="O54" s="177"/>
      <c r="P54" s="177"/>
      <c r="Q54" s="177"/>
      <c r="R54" s="177"/>
      <c r="S54" s="177"/>
      <c r="T54" s="177"/>
      <c r="U54" s="177"/>
      <c r="V54" s="178"/>
    </row>
    <row r="55" spans="1:22" ht="16.5" x14ac:dyDescent="0.3">
      <c r="A55" s="179"/>
      <c r="B55" s="174"/>
      <c r="C55" s="175"/>
      <c r="D55" s="180" t="s">
        <v>8</v>
      </c>
      <c r="E55" s="181"/>
      <c r="F55" s="181"/>
      <c r="G55" s="181"/>
      <c r="H55" s="181"/>
      <c r="I55" s="181"/>
      <c r="J55" s="177"/>
      <c r="K55" s="177"/>
      <c r="L55" s="177"/>
      <c r="M55" s="177"/>
      <c r="N55" s="177"/>
      <c r="O55" s="177"/>
      <c r="P55" s="177"/>
      <c r="Q55" s="177"/>
      <c r="R55" s="177"/>
      <c r="S55" s="177"/>
      <c r="T55" s="177"/>
      <c r="U55" s="177"/>
      <c r="V55" s="178"/>
    </row>
    <row r="56" spans="1:22" x14ac:dyDescent="0.25">
      <c r="A56" s="154"/>
      <c r="B56" s="182"/>
      <c r="D56" s="180" t="s">
        <v>5</v>
      </c>
      <c r="E56" s="183" t="s">
        <v>33</v>
      </c>
      <c r="F56" s="184"/>
      <c r="G56" s="184"/>
      <c r="H56" s="184"/>
      <c r="I56" s="184"/>
      <c r="J56" s="184"/>
      <c r="K56" s="184"/>
      <c r="L56" s="184"/>
      <c r="M56" s="184"/>
      <c r="N56" s="184"/>
      <c r="O56" s="184"/>
      <c r="P56" s="184"/>
      <c r="Q56" s="184"/>
      <c r="R56" s="177"/>
      <c r="S56" s="177"/>
      <c r="T56" s="177"/>
      <c r="U56" s="177"/>
      <c r="V56" s="178"/>
    </row>
    <row r="57" spans="1:22" ht="16.5" thickBot="1" x14ac:dyDescent="0.3">
      <c r="A57" s="185"/>
      <c r="B57" s="186"/>
      <c r="C57" s="187"/>
      <c r="D57" s="188" t="s">
        <v>4</v>
      </c>
      <c r="E57" s="189"/>
      <c r="F57" s="189"/>
      <c r="G57" s="189"/>
      <c r="H57" s="189"/>
      <c r="I57" s="189"/>
      <c r="J57" s="190"/>
      <c r="K57" s="190"/>
      <c r="L57" s="190"/>
      <c r="M57" s="190"/>
      <c r="N57" s="190"/>
      <c r="O57" s="190"/>
      <c r="P57" s="190"/>
      <c r="Q57" s="190"/>
      <c r="R57" s="190"/>
      <c r="S57" s="190"/>
      <c r="T57" s="190"/>
      <c r="U57" s="190"/>
      <c r="V57" s="191"/>
    </row>
    <row r="58" spans="1:22" ht="17.25" thickTop="1" x14ac:dyDescent="0.3">
      <c r="A58" s="173"/>
      <c r="B58" s="192" t="s">
        <v>9</v>
      </c>
      <c r="C58" s="192"/>
      <c r="D58" s="176" t="s">
        <v>7</v>
      </c>
      <c r="E58" s="193"/>
      <c r="F58" s="193"/>
      <c r="G58" s="193"/>
      <c r="H58" s="193"/>
      <c r="I58" s="193"/>
      <c r="J58" s="194"/>
      <c r="K58" s="194"/>
      <c r="L58" s="194"/>
      <c r="M58" s="194"/>
      <c r="N58" s="194"/>
      <c r="O58" s="194"/>
      <c r="P58" s="194"/>
      <c r="Q58" s="194"/>
      <c r="R58" s="194"/>
      <c r="S58" s="194"/>
      <c r="T58" s="194"/>
      <c r="U58" s="194"/>
      <c r="V58" s="195"/>
    </row>
    <row r="59" spans="1:22" ht="16.5" x14ac:dyDescent="0.3">
      <c r="A59" s="179"/>
      <c r="B59" s="175"/>
      <c r="C59" s="175"/>
      <c r="D59" s="180" t="s">
        <v>8</v>
      </c>
      <c r="E59" s="181"/>
      <c r="F59" s="181"/>
      <c r="G59" s="181"/>
      <c r="H59" s="181"/>
      <c r="I59" s="181"/>
      <c r="J59" s="177"/>
      <c r="K59" s="177"/>
      <c r="L59" s="177"/>
      <c r="M59" s="177"/>
      <c r="N59" s="177"/>
      <c r="O59" s="177"/>
      <c r="P59" s="177"/>
      <c r="Q59" s="177"/>
      <c r="R59" s="177"/>
      <c r="S59" s="177"/>
      <c r="T59" s="177"/>
      <c r="U59" s="177"/>
      <c r="V59" s="178"/>
    </row>
    <row r="60" spans="1:22" x14ac:dyDescent="0.25">
      <c r="A60" s="179"/>
      <c r="D60" s="180" t="s">
        <v>5</v>
      </c>
      <c r="E60" s="183" t="s">
        <v>34</v>
      </c>
      <c r="F60" s="184"/>
      <c r="G60" s="184"/>
      <c r="H60" s="184"/>
      <c r="I60" s="184"/>
      <c r="J60" s="184"/>
      <c r="K60" s="184"/>
      <c r="L60" s="184"/>
      <c r="M60" s="184"/>
      <c r="N60" s="184"/>
      <c r="O60" s="184"/>
      <c r="P60" s="184"/>
      <c r="Q60" s="184"/>
      <c r="R60" s="177"/>
      <c r="S60" s="177"/>
      <c r="T60" s="177"/>
      <c r="U60" s="177"/>
      <c r="V60" s="178"/>
    </row>
    <row r="61" spans="1:22" ht="16.5" thickBot="1" x14ac:dyDescent="0.3">
      <c r="A61" s="185"/>
      <c r="B61" s="187"/>
      <c r="C61" s="187"/>
      <c r="D61" s="196" t="s">
        <v>4</v>
      </c>
      <c r="E61" s="187"/>
      <c r="F61" s="187"/>
      <c r="G61" s="187"/>
      <c r="H61" s="187"/>
      <c r="I61" s="187"/>
      <c r="J61" s="190"/>
      <c r="K61" s="190"/>
      <c r="L61" s="190"/>
      <c r="M61" s="190"/>
      <c r="N61" s="190"/>
      <c r="O61" s="190"/>
      <c r="P61" s="190"/>
      <c r="Q61" s="190"/>
      <c r="R61" s="190"/>
      <c r="S61" s="190"/>
      <c r="T61" s="190"/>
      <c r="U61" s="190"/>
      <c r="V61" s="191"/>
    </row>
    <row r="62" spans="1:22" ht="16.5" thickTop="1" x14ac:dyDescent="0.25"/>
  </sheetData>
  <mergeCells count="35">
    <mergeCell ref="A2:T2"/>
    <mergeCell ref="A4:R4"/>
    <mergeCell ref="A6:Q6"/>
    <mergeCell ref="B54:B57"/>
    <mergeCell ref="E56:Q56"/>
    <mergeCell ref="J55:Q55"/>
    <mergeCell ref="J54:Q54"/>
    <mergeCell ref="A8:A10"/>
    <mergeCell ref="J8:J10"/>
    <mergeCell ref="L8:L10"/>
    <mergeCell ref="B8:B10"/>
    <mergeCell ref="E8:I9"/>
    <mergeCell ref="C8:C10"/>
    <mergeCell ref="D8:D10"/>
    <mergeCell ref="P8:P10"/>
    <mergeCell ref="K8:K10"/>
    <mergeCell ref="R61:V61"/>
    <mergeCell ref="J61:Q61"/>
    <mergeCell ref="R60:V60"/>
    <mergeCell ref="E60:Q60"/>
    <mergeCell ref="R59:V59"/>
    <mergeCell ref="J59:Q59"/>
    <mergeCell ref="R58:V58"/>
    <mergeCell ref="J58:Q58"/>
    <mergeCell ref="R57:V57"/>
    <mergeCell ref="J57:Q57"/>
    <mergeCell ref="R56:V56"/>
    <mergeCell ref="R55:V55"/>
    <mergeCell ref="R54:V54"/>
    <mergeCell ref="N8:N10"/>
    <mergeCell ref="Q8:T9"/>
    <mergeCell ref="M8:M10"/>
    <mergeCell ref="O8:O10"/>
    <mergeCell ref="V8:V10"/>
    <mergeCell ref="U8:U10"/>
  </mergeCells>
  <phoneticPr fontId="1" type="noConversion"/>
  <dataValidations xWindow="644" yWindow="720" count="24">
    <dataValidation type="list" allowBlank="1" showInputMessage="1" showErrorMessage="1" sqref="O54:O55 X29 O57:O59 O61:O65353 O1 O3 O5 O7" xr:uid="{74941E0F-0D35-0A4C-BAC9-DFC0F7D15743}">
      <formula1>"Yes, No"</formula1>
    </dataValidation>
    <dataValidation type="list" allowBlank="1" showInputMessage="1" showErrorMessage="1" sqref="P61:P65353 P54:P55 P57:P59 P1 P3 P5 P7" xr:uid="{B5FCCB9D-0EE3-3D4C-929E-050CD14FCD68}">
      <formula1>"National, Resident, EAC, WoBS, YoBs, PWDoBs,N/A"</formula1>
    </dataValidation>
    <dataValidation type="whole" errorStyle="information" operator="greaterThan" showInputMessage="1" showErrorMessage="1" errorTitle="Project Completion Time" error="Enter Project Completion Time in Years" promptTitle="Project Completion Time" prompt="Enter Project Completion Time" sqref="F49:F53" xr:uid="{60CEA3E7-A0A6-9A41-8647-88653C4BC0FD}">
      <formula1>-1</formula1>
    </dataValidation>
    <dataValidation type="decimal" errorStyle="information" operator="greaterThan" showInputMessage="1" showErrorMessage="1" errorTitle="Paid Sum" error="Enter Paid Sum" promptTitle="Paid Sum" prompt="Enter Paid Sum" sqref="G49:G53" xr:uid="{8F4AA793-78A7-3545-A78A-917ACD4304FE}">
      <formula1>100</formula1>
    </dataValidation>
    <dataValidation type="decimal" errorStyle="information" operator="greaterThan" showInputMessage="1" showErrorMessage="1" errorTitle="Pending Sum" error="Enter Pending Sum" promptTitle="Pending Sum" prompt="Enter Pending Sum" sqref="H49:H53" xr:uid="{BA8A18FD-5996-BC4D-8B07-3925C074C04C}">
      <formula1>100</formula1>
    </dataValidation>
    <dataValidation type="decimal" errorStyle="information" operator="greaterThan" showInputMessage="1" showErrorMessage="1" errorTitle="Pending time to completion" error="Enter Pending time to completion" promptTitle="Pending time to completion" prompt="Enter Pending time to completion" sqref="I49:I53" xr:uid="{CAB1E3D7-B2F6-FC47-96ED-C9BD8D96433E}">
      <formula1>0</formula1>
    </dataValidation>
    <dataValidation type="decimal" errorStyle="information" operator="greaterThan" showInputMessage="1" showErrorMessage="1" errorTitle="Current Year's Estimated Cost" error="Enter the Current Year's Estimated Cost - Applies to Multi-year procurements only" promptTitle="Current Year's Estimated Cost" prompt="Enter the Current Year's Estimated Cost - Applies to Multi-year procurements only" sqref="F34:I48 E34:E53 E12:I33" xr:uid="{2E1BCFC3-6905-F344-A545-2D83119AC00F}">
      <formula1>100</formula1>
    </dataValidation>
    <dataValidation type="list" showInputMessage="1" showErrorMessage="1" errorTitle="Apply Reservation Scheme" error="Reservation Schemes is required._x000a_Select an option from the list" promptTitle="Apply Reservation Scheme" prompt="Select an option from the list" sqref="P12:P53" xr:uid="{D8BB84FE-B12B-6D43-A20B-2543CD5ECB50}">
      <formula1>"Local Providers, Special Interest Groups,N/A"</formula1>
    </dataValidation>
    <dataValidation type="list" showInputMessage="1" showErrorMessage="1" errorTitle="Procurement Category or Type" error="Procurement Category or Type is required. Select the Procurement Category or Type from the list" promptTitle="Procurement Category or Type" prompt="Select the Procurement Category from the list" sqref="L12:L53" xr:uid="{45B49270-B6C5-D54F-AED9-471820F18F5A}">
      <formula1>"Supplies, Works, Consultancy Services, Non-Consultancy Services"</formula1>
    </dataValidation>
    <dataValidation type="list" allowBlank="1" showInputMessage="1" showErrorMessage="1" errorTitle="Source of Funding" error="The Source of Funding is required, Select it from the list" promptTitle="Source of Funding" prompt="Select the Source of Funding from the list" sqref="J12:J53" xr:uid="{E9606904-E5DF-9148-9BEA-43A00126512F}">
      <formula1>"Government Of Uganda, Donor, GOU and Donor, Internally Generated Funds"</formula1>
    </dataValidation>
    <dataValidation type="list" showInputMessage="1" showErrorMessage="1" errorTitle="Currency" error="Currency is required" promptTitle="Currency" prompt="Select a currency" sqref="C12:C53" xr:uid="{8B4B5C63-4A53-3B41-8B9D-88890963AA3E}">
      <formula1>"UGX,USD,RWF,EUR,GBP,CAD,KES,TZS"</formula1>
    </dataValidation>
    <dataValidation type="list" showInputMessage="1" showErrorMessage="1" errorTitle="Contract Type" error="Contract Type is required. Select the Contract Type from the list" promptTitle="Contract Type" prompt="Select the Contract Typpe from the list" sqref="M12:M53" xr:uid="{BA89BD5F-432C-4448-BDFC-EDDB1E85DEC7}">
      <formula1>"Lumpsum Contracts, Time-based Contracts, Ad Measurement Contracts, Framework Contracts, Percentage Based Contract, Target Price Contract, Retainer Contract, Success Fee Contract"</formula1>
    </dataValidation>
    <dataValidation allowBlank="1" showInputMessage="1" showErrorMessage="1" errorTitle="Serial Number" error="Serial Number is required" promptTitle="Serial Number" prompt="Enter Serial Number" sqref="A12:A53" xr:uid="{D640CA14-3016-BA42-A801-6DE31DE65B6D}"/>
    <dataValidation type="textLength" operator="greaterThan" showInputMessage="1" showErrorMessage="1" errorTitle="Subject of Procurement" error="A descriptive Subject of Procurement is required" promptTitle="Subject of Procurement" prompt="Enter Subject of Procurement" sqref="B12:B53" xr:uid="{DC427B41-4DC4-554E-90D0-50BE1717D46F}">
      <formula1>5</formula1>
    </dataValidation>
    <dataValidation type="decimal" operator="greaterThan" showInputMessage="1" showErrorMessage="1" errorTitle="Estimated Amount" error="The Estimated Amount should be greater than 100" promptTitle="Estimated Amount" prompt="Enter the Estimated Amount" sqref="D12:D53" xr:uid="{22B08D29-1131-024B-92AF-1A45F4AFA86A}">
      <formula1>100</formula1>
    </dataValidation>
    <dataValidation type="list" showInputMessage="1" showErrorMessage="1" errorTitle="Procurement method" error="The Procurement Method is required. Select it from the list" promptTitle="Procurement Method" prompt="Select Procurement Method from the list" sqref="K12:K53" xr:uid="{127CFB59-56A5-614D-ACE0-787F80963CD7}">
      <formula1>"Direct Procurement, Micro Procurement, Open Domestic Bidding, Open International Bidding(OIB), Quotations Method, Restricted Domestic Bidding (RDB), Restricted International Bidding (RIB),"</formula1>
    </dataValidation>
    <dataValidation type="list" showInputMessage="1" showErrorMessage="1" errorTitle="Pre-Qualification" error="The Pre-Qualification is required. Select an option from the list" promptTitle="Pre-Qualification" prompt="Select the Pre-Qualification (Yes or No)" sqref="N12:N53" xr:uid="{48F8830B-711B-C144-832D-85A04B754BFC}">
      <formula1>"Yes, No"</formula1>
    </dataValidation>
    <dataValidation type="list" showInputMessage="1" showErrorMessage="1" errorTitle="Reservation Schemes Applied" error="Reservation Schemes Applied is Required._x000a_Select an option from the list" promptTitle="Reservation Schemes Applied" prompt="Select an option from the list" sqref="O12:O53" xr:uid="{696A5895-D913-5F4F-88F6-59DBFC61779C}">
      <formula1>"Yes, No"</formula1>
    </dataValidation>
    <dataValidation type="date" errorStyle="information" operator="greaterThan" showInputMessage="1" showErrorMessage="1" errorTitle="Award notification date" error="Add the dates in the correct format" promptTitle="Award notification date" prompt="Add the Award notification date" sqref="T12:T53" xr:uid="{23B52F04-C11E-4643-AF8F-98EE7EC8EB52}">
      <formula1>45782</formula1>
    </dataValidation>
    <dataValidation type="date" errorStyle="information" operator="greaterThan" showInputMessage="1" showErrorMessage="1" errorTitle="Bid Invitation Date" error="Add the dates in the correct format" promptTitle="Bid Invitation Date" prompt="Add the Bid Invitation date" sqref="Q12:Q53" xr:uid="{8C341FB2-5ECD-EF45-B412-B9658CA3FD5D}">
      <formula1>45417</formula1>
    </dataValidation>
    <dataValidation type="date" errorStyle="information" operator="greaterThan" showInputMessage="1" showErrorMessage="1" errorTitle="Bid closing/ Opening date" error="Add the dates in the correct format" promptTitle="Bid closing/ Opening date" prompt="Add the Bid closing/ Opening date" sqref="R12:R53" xr:uid="{1215F4C8-706D-F841-B5B5-193463F6005D}">
      <formula1>45782</formula1>
    </dataValidation>
    <dataValidation type="date" errorStyle="information" operator="greaterThan" showInputMessage="1" showErrorMessage="1" errorTitle="Approval  evaluation report date" error="Add the dates in the correct format" promptTitle="Approval  evaluation report date" prompt="Add the Approval evaluation report date in correct format_x000d__x000a_" sqref="S12:S53" xr:uid="{93D4B157-6ABA-0B41-9CDE-FEF5885EEDF0}">
      <formula1>45782</formula1>
    </dataValidation>
    <dataValidation type="date" errorStyle="information" operator="greaterThan" showInputMessage="1" showErrorMessage="1" errorTitle="Completion date" error="Enter the date in correct format" promptTitle="Completion date" prompt="Enter the Completion date in correct format" sqref="V12:V53" xr:uid="{B2F0DB92-787E-E14B-A59A-4CAA1FB9BED1}">
      <formula1>45782</formula1>
    </dataValidation>
    <dataValidation type="date" errorStyle="information" operator="greaterThan" showInputMessage="1" showErrorMessage="1" errorTitle="Contract signing date" error="Enter the date in correct format" promptTitle="Contract signing date" prompt="Enter the Contract signing date" sqref="U12:U53" xr:uid="{4773568F-B4DB-594A-9E70-4118FEE4984D}">
      <formula1>45782</formula1>
    </dataValidation>
  </dataValidations>
  <pageMargins left="0.43307086614173229" right="0.23622047244094491" top="0.74803149606299213" bottom="0.74803149606299213" header="0.31496062992125984" footer="0.31496062992125984"/>
  <pageSetup scale="60" fitToWidth="2" fitToHeight="0" orientation="landscape" r:id="rId1"/>
  <headerFooter>
    <oddFooter>&amp;RPage &amp;P of &amp;N</oddFooter>
  </headerFooter>
  <ignoredErrors>
    <ignoredError sqref="B49:C49 L49:V53 S48:T48 B50:D53 E53 G53 K20:K33 H20:I33 E20:G33 E12:I18 K14:K18 K34:K53 H34:I53 E34:G52" listDataValidation="1"/>
    <ignoredError sqref="R20:R21 Q22:V22 V20 Q25:V26 R23:R24 S35:V40 R40 U41:V47 Q28:V33 R15:R18" formula="1"/>
    <ignoredError sqref="S41:T47" formula="1" listDataValidation="1"/>
    <ignoredError sqref="D4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0795D-ADAB-F64A-8B50-9AC214374076}">
  <dimension ref="A2:Z23"/>
  <sheetViews>
    <sheetView topLeftCell="A4" zoomScale="90" zoomScaleNormal="100" workbookViewId="0">
      <selection activeCell="D28" sqref="D28"/>
    </sheetView>
  </sheetViews>
  <sheetFormatPr defaultColWidth="8.85546875" defaultRowHeight="15.75" x14ac:dyDescent="0.25"/>
  <cols>
    <col min="1" max="1" width="8.28515625" style="19" customWidth="1"/>
    <col min="2" max="2" width="69.140625" style="19" customWidth="1"/>
    <col min="3" max="3" width="12.85546875" style="19" customWidth="1"/>
    <col min="4" max="4" width="18.28515625" style="19" customWidth="1"/>
    <col min="5" max="9" width="11.28515625" style="19" hidden="1" customWidth="1"/>
    <col min="10" max="10" width="31.140625" style="19" customWidth="1"/>
    <col min="11" max="11" width="37.140625" style="19" customWidth="1"/>
    <col min="12" max="12" width="23" style="19" bestFit="1" customWidth="1"/>
    <col min="13" max="13" width="17.42578125" style="29" customWidth="1"/>
    <col min="14" max="14" width="18.7109375" style="19" customWidth="1"/>
    <col min="15" max="15" width="24" style="19" customWidth="1"/>
    <col min="16" max="16" width="15.85546875" style="19" hidden="1" customWidth="1"/>
    <col min="17" max="17" width="18.42578125" style="19" hidden="1" customWidth="1"/>
    <col min="18" max="18" width="12.42578125" style="19" hidden="1" customWidth="1"/>
    <col min="19" max="19" width="16.5703125" style="19" hidden="1" customWidth="1"/>
    <col min="20" max="20" width="14.42578125" style="19" customWidth="1"/>
    <col min="21" max="21" width="13.85546875" style="19" customWidth="1"/>
    <col min="22" max="22" width="14.42578125" style="19" customWidth="1"/>
    <col min="23" max="23" width="15.28515625" style="19" customWidth="1"/>
    <col min="24" max="24" width="11.85546875" style="19" customWidth="1"/>
    <col min="25" max="25" width="17.42578125" style="19" customWidth="1"/>
    <col min="26" max="16384" width="8.85546875" style="19"/>
  </cols>
  <sheetData>
    <row r="2" spans="1:26" ht="16.5" customHeight="1" x14ac:dyDescent="0.25">
      <c r="A2" s="139" t="s">
        <v>28</v>
      </c>
      <c r="B2" s="140"/>
      <c r="C2" s="140"/>
      <c r="D2" s="140"/>
      <c r="E2" s="140"/>
      <c r="F2" s="140"/>
      <c r="G2" s="140"/>
      <c r="H2" s="140"/>
      <c r="I2" s="140"/>
      <c r="J2" s="140"/>
      <c r="K2" s="140"/>
      <c r="L2" s="140"/>
      <c r="M2" s="140"/>
      <c r="N2" s="140"/>
      <c r="O2" s="140"/>
      <c r="P2" s="140"/>
      <c r="Q2" s="140"/>
      <c r="R2" s="140"/>
      <c r="S2" s="140"/>
      <c r="T2" s="140"/>
      <c r="U2" s="140"/>
      <c r="V2" s="140"/>
      <c r="W2" s="140"/>
      <c r="X2" s="140"/>
      <c r="Y2" s="141"/>
    </row>
    <row r="3" spans="1:26" x14ac:dyDescent="0.25">
      <c r="A3" s="142"/>
      <c r="B3" s="143"/>
      <c r="C3" s="143"/>
      <c r="D3" s="143"/>
      <c r="E3" s="143"/>
      <c r="F3" s="143"/>
      <c r="G3" s="143"/>
      <c r="H3" s="143"/>
      <c r="I3" s="143"/>
      <c r="J3" s="143"/>
      <c r="K3" s="143"/>
      <c r="L3" s="143"/>
      <c r="M3" s="143"/>
      <c r="N3" s="143"/>
      <c r="O3" s="143"/>
      <c r="P3" s="143"/>
      <c r="Q3" s="143"/>
      <c r="R3" s="143"/>
      <c r="S3" s="143"/>
      <c r="T3" s="143"/>
      <c r="U3" s="143"/>
      <c r="V3" s="143"/>
      <c r="W3" s="143"/>
      <c r="X3" s="143"/>
      <c r="Y3" s="144"/>
    </row>
    <row r="4" spans="1:26" ht="16.5" x14ac:dyDescent="0.3">
      <c r="A4" s="142" t="s">
        <v>112</v>
      </c>
      <c r="B4" s="143"/>
      <c r="C4" s="143"/>
      <c r="D4" s="143"/>
      <c r="E4" s="143"/>
      <c r="F4" s="143"/>
      <c r="G4" s="143"/>
      <c r="H4" s="143"/>
      <c r="I4" s="143"/>
      <c r="J4" s="143"/>
      <c r="K4" s="143"/>
      <c r="L4" s="143"/>
      <c r="M4" s="143"/>
      <c r="N4" s="143"/>
      <c r="O4" s="143"/>
      <c r="P4" s="143"/>
      <c r="Q4" s="143"/>
      <c r="R4" s="143"/>
      <c r="S4" s="143"/>
      <c r="T4" s="143"/>
      <c r="U4" s="143"/>
      <c r="V4" s="143"/>
      <c r="W4" s="12"/>
      <c r="X4" s="12"/>
      <c r="Y4" s="13"/>
    </row>
    <row r="5" spans="1:26" x14ac:dyDescent="0.25">
      <c r="A5" s="11"/>
      <c r="B5" s="12"/>
      <c r="C5" s="12"/>
      <c r="D5" s="12"/>
      <c r="E5" s="12"/>
      <c r="F5" s="12"/>
      <c r="G5" s="12"/>
      <c r="H5" s="12"/>
      <c r="I5" s="12"/>
      <c r="J5" s="12"/>
      <c r="K5" s="12"/>
      <c r="L5" s="12"/>
      <c r="M5" s="26"/>
      <c r="N5" s="12"/>
      <c r="O5" s="12"/>
      <c r="P5" s="12"/>
      <c r="Q5" s="12"/>
      <c r="R5" s="12"/>
      <c r="S5" s="12"/>
      <c r="T5" s="12"/>
      <c r="U5" s="12"/>
      <c r="V5" s="12"/>
      <c r="W5" s="12"/>
      <c r="X5" s="12"/>
      <c r="Y5" s="13"/>
    </row>
    <row r="6" spans="1:26" ht="16.5" x14ac:dyDescent="0.3">
      <c r="A6" s="142" t="s">
        <v>113</v>
      </c>
      <c r="B6" s="143"/>
      <c r="C6" s="143"/>
      <c r="D6" s="143"/>
      <c r="E6" s="143"/>
      <c r="F6" s="143"/>
      <c r="G6" s="143"/>
      <c r="H6" s="143"/>
      <c r="I6" s="143"/>
      <c r="J6" s="143"/>
      <c r="K6" s="143"/>
      <c r="L6" s="143"/>
      <c r="M6" s="143"/>
      <c r="N6" s="143"/>
      <c r="O6" s="143"/>
      <c r="P6" s="143"/>
      <c r="Q6" s="143"/>
      <c r="R6" s="143"/>
      <c r="S6" s="143"/>
      <c r="T6" s="143"/>
      <c r="U6" s="143"/>
      <c r="V6" s="143"/>
      <c r="W6" s="143"/>
      <c r="X6" s="12"/>
      <c r="Y6" s="13"/>
    </row>
    <row r="7" spans="1:26" ht="14.25" customHeight="1" x14ac:dyDescent="0.3">
      <c r="A7" s="14"/>
      <c r="B7" s="15"/>
      <c r="C7" s="15"/>
      <c r="D7" s="146"/>
      <c r="E7" s="146"/>
      <c r="F7" s="146"/>
      <c r="G7" s="146"/>
      <c r="H7" s="146"/>
      <c r="I7" s="146"/>
      <c r="J7" s="146"/>
      <c r="K7" s="146"/>
      <c r="L7" s="146"/>
      <c r="M7" s="146"/>
      <c r="N7" s="146"/>
      <c r="O7" s="146"/>
      <c r="P7" s="146"/>
      <c r="Q7" s="146"/>
      <c r="R7" s="16"/>
      <c r="S7" s="16"/>
      <c r="T7" s="17"/>
      <c r="U7" s="17"/>
      <c r="V7" s="17"/>
      <c r="W7" s="17"/>
      <c r="X7" s="17"/>
      <c r="Y7" s="18"/>
    </row>
    <row r="8" spans="1:26" ht="45.75" customHeight="1" x14ac:dyDescent="0.3">
      <c r="A8" s="147" t="s">
        <v>0</v>
      </c>
      <c r="B8" s="149" t="s">
        <v>11</v>
      </c>
      <c r="C8" s="105" t="s">
        <v>35</v>
      </c>
      <c r="D8" s="105" t="s">
        <v>27</v>
      </c>
      <c r="E8" s="133" t="s">
        <v>45</v>
      </c>
      <c r="F8" s="134"/>
      <c r="G8" s="134"/>
      <c r="H8" s="134"/>
      <c r="I8" s="134"/>
      <c r="J8" s="105" t="s">
        <v>12</v>
      </c>
      <c r="K8" s="105" t="s">
        <v>13</v>
      </c>
      <c r="L8" s="104" t="s">
        <v>67</v>
      </c>
      <c r="M8" s="105" t="s">
        <v>37</v>
      </c>
      <c r="N8" s="105" t="s">
        <v>38</v>
      </c>
      <c r="O8" s="150" t="s">
        <v>14</v>
      </c>
      <c r="P8" s="129" t="s">
        <v>1</v>
      </c>
      <c r="Q8" s="130"/>
      <c r="R8" s="130"/>
      <c r="S8" s="131"/>
      <c r="T8" s="129" t="s">
        <v>2</v>
      </c>
      <c r="U8" s="130"/>
      <c r="V8" s="130"/>
      <c r="W8" s="130"/>
      <c r="X8" s="131"/>
      <c r="Y8" s="145" t="s">
        <v>23</v>
      </c>
      <c r="Z8" s="23"/>
    </row>
    <row r="9" spans="1:26" ht="65.45" customHeight="1" x14ac:dyDescent="0.3">
      <c r="A9" s="148"/>
      <c r="B9" s="149"/>
      <c r="C9" s="105"/>
      <c r="D9" s="105"/>
      <c r="E9" s="8" t="s">
        <v>41</v>
      </c>
      <c r="F9" s="8" t="s">
        <v>40</v>
      </c>
      <c r="G9" s="8" t="s">
        <v>42</v>
      </c>
      <c r="H9" s="8" t="s">
        <v>43</v>
      </c>
      <c r="I9" s="8" t="s">
        <v>44</v>
      </c>
      <c r="J9" s="105"/>
      <c r="K9" s="105"/>
      <c r="L9" s="106"/>
      <c r="M9" s="105"/>
      <c r="N9" s="105"/>
      <c r="O9" s="150"/>
      <c r="P9" s="9" t="s">
        <v>15</v>
      </c>
      <c r="Q9" s="9" t="s">
        <v>16</v>
      </c>
      <c r="R9" s="9" t="s">
        <v>17</v>
      </c>
      <c r="S9" s="9" t="s">
        <v>18</v>
      </c>
      <c r="T9" s="10" t="s">
        <v>19</v>
      </c>
      <c r="U9" s="9" t="s">
        <v>20</v>
      </c>
      <c r="V9" s="9" t="s">
        <v>21</v>
      </c>
      <c r="W9" s="9" t="s">
        <v>18</v>
      </c>
      <c r="X9" s="9" t="s">
        <v>22</v>
      </c>
      <c r="Y9" s="145"/>
    </row>
    <row r="10" spans="1:26" ht="16.5" hidden="1" x14ac:dyDescent="0.3">
      <c r="A10" s="36" t="s">
        <v>69</v>
      </c>
      <c r="B10" s="37" t="s">
        <v>70</v>
      </c>
      <c r="C10" s="30" t="s">
        <v>71</v>
      </c>
      <c r="D10" s="31" t="s">
        <v>72</v>
      </c>
      <c r="E10" s="31" t="s">
        <v>73</v>
      </c>
      <c r="F10" s="38" t="s">
        <v>74</v>
      </c>
      <c r="G10" s="31" t="s">
        <v>75</v>
      </c>
      <c r="H10" s="31" t="s">
        <v>76</v>
      </c>
      <c r="I10" s="38" t="s">
        <v>77</v>
      </c>
      <c r="J10" s="39" t="s">
        <v>78</v>
      </c>
      <c r="K10" s="39" t="s">
        <v>79</v>
      </c>
      <c r="L10" s="39" t="s">
        <v>80</v>
      </c>
      <c r="M10" s="33" t="s">
        <v>81</v>
      </c>
      <c r="N10" s="39" t="s">
        <v>82</v>
      </c>
      <c r="O10" s="40" t="s">
        <v>83</v>
      </c>
      <c r="P10" s="41" t="s">
        <v>84</v>
      </c>
      <c r="Q10" s="39" t="s">
        <v>85</v>
      </c>
      <c r="R10" s="39" t="s">
        <v>86</v>
      </c>
      <c r="S10" s="39" t="s">
        <v>87</v>
      </c>
      <c r="T10" s="39" t="s">
        <v>88</v>
      </c>
      <c r="U10" s="39" t="s">
        <v>89</v>
      </c>
      <c r="V10" s="39" t="s">
        <v>90</v>
      </c>
      <c r="W10" s="39" t="s">
        <v>91</v>
      </c>
      <c r="X10" s="39" t="s">
        <v>92</v>
      </c>
      <c r="Y10" s="42" t="s">
        <v>93</v>
      </c>
    </row>
    <row r="11" spans="1:26" ht="23.25" customHeight="1" x14ac:dyDescent="0.25">
      <c r="A11" s="43">
        <v>1</v>
      </c>
      <c r="B11" s="34" t="s">
        <v>147</v>
      </c>
      <c r="C11" s="24" t="s">
        <v>94</v>
      </c>
      <c r="D11" s="44">
        <v>258278400</v>
      </c>
      <c r="E11" s="32"/>
      <c r="F11" s="45"/>
      <c r="G11" s="32"/>
      <c r="H11" s="32"/>
      <c r="I11" s="45"/>
      <c r="J11" s="46" t="s">
        <v>99</v>
      </c>
      <c r="K11" s="46" t="s">
        <v>153</v>
      </c>
      <c r="L11" s="46" t="s">
        <v>100</v>
      </c>
      <c r="M11" s="83" t="s">
        <v>106</v>
      </c>
      <c r="N11" s="46" t="s">
        <v>109</v>
      </c>
      <c r="O11" s="46" t="s">
        <v>104</v>
      </c>
      <c r="P11" s="47"/>
      <c r="Q11" s="47"/>
      <c r="R11" s="47"/>
      <c r="S11" s="47"/>
      <c r="T11" s="48">
        <f>U11-20</f>
        <v>46414</v>
      </c>
      <c r="U11" s="48">
        <f t="shared" ref="U11:U16" si="0">V11-21</f>
        <v>46434</v>
      </c>
      <c r="V11" s="48">
        <f>W11-12</f>
        <v>46455</v>
      </c>
      <c r="W11" s="48">
        <f t="shared" ref="W11:W16" si="1">X11-10</f>
        <v>46467</v>
      </c>
      <c r="X11" s="49">
        <v>46477</v>
      </c>
      <c r="Y11" s="48">
        <f>X11+90</f>
        <v>46567</v>
      </c>
    </row>
    <row r="12" spans="1:26" ht="31.5" x14ac:dyDescent="0.25">
      <c r="A12" s="43">
        <v>2</v>
      </c>
      <c r="B12" s="34" t="s">
        <v>148</v>
      </c>
      <c r="C12" s="24" t="s">
        <v>94</v>
      </c>
      <c r="D12" s="44">
        <v>250000000</v>
      </c>
      <c r="E12" s="50"/>
      <c r="F12" s="45"/>
      <c r="G12" s="45"/>
      <c r="H12" s="45"/>
      <c r="I12" s="45"/>
      <c r="J12" s="46" t="s">
        <v>99</v>
      </c>
      <c r="K12" s="46" t="s">
        <v>153</v>
      </c>
      <c r="L12" s="46" t="s">
        <v>100</v>
      </c>
      <c r="M12" s="84" t="s">
        <v>106</v>
      </c>
      <c r="N12" s="46" t="s">
        <v>109</v>
      </c>
      <c r="O12" s="46" t="s">
        <v>104</v>
      </c>
      <c r="P12" s="51"/>
      <c r="Q12" s="51"/>
      <c r="R12" s="51"/>
      <c r="S12" s="51"/>
      <c r="T12" s="48">
        <f>U12-20</f>
        <v>46262</v>
      </c>
      <c r="U12" s="48">
        <f t="shared" si="0"/>
        <v>46282</v>
      </c>
      <c r="V12" s="48">
        <f>W12-12</f>
        <v>46303</v>
      </c>
      <c r="W12" s="48">
        <f>X12-10</f>
        <v>46315</v>
      </c>
      <c r="X12" s="49">
        <v>46325</v>
      </c>
      <c r="Y12" s="48">
        <f>X12+62</f>
        <v>46387</v>
      </c>
    </row>
    <row r="13" spans="1:26" x14ac:dyDescent="0.25">
      <c r="A13" s="43">
        <v>3</v>
      </c>
      <c r="B13" s="25" t="s">
        <v>157</v>
      </c>
      <c r="C13" s="35" t="s">
        <v>98</v>
      </c>
      <c r="D13" s="32">
        <v>110000000</v>
      </c>
      <c r="E13" s="50"/>
      <c r="F13" s="45"/>
      <c r="G13" s="45"/>
      <c r="H13" s="45"/>
      <c r="I13" s="45"/>
      <c r="J13" s="46" t="s">
        <v>99</v>
      </c>
      <c r="K13" s="46" t="s">
        <v>103</v>
      </c>
      <c r="L13" s="53" t="s">
        <v>100</v>
      </c>
      <c r="M13" s="84" t="s">
        <v>107</v>
      </c>
      <c r="N13" s="46" t="s">
        <v>110</v>
      </c>
      <c r="O13" s="46" t="s">
        <v>104</v>
      </c>
      <c r="P13" s="55"/>
      <c r="Q13" s="51"/>
      <c r="R13" s="51"/>
      <c r="S13" s="51"/>
      <c r="T13" s="48">
        <f>U13-20</f>
        <v>46232</v>
      </c>
      <c r="U13" s="48">
        <f t="shared" si="0"/>
        <v>46252</v>
      </c>
      <c r="V13" s="48">
        <f>W13-12</f>
        <v>46273</v>
      </c>
      <c r="W13" s="48">
        <f>X13-10</f>
        <v>46285</v>
      </c>
      <c r="X13" s="49">
        <v>46295</v>
      </c>
      <c r="Y13" s="48">
        <f>X13+62</f>
        <v>46357</v>
      </c>
    </row>
    <row r="14" spans="1:26" ht="31.5" x14ac:dyDescent="0.25">
      <c r="A14" s="43">
        <v>4</v>
      </c>
      <c r="B14" s="34" t="s">
        <v>149</v>
      </c>
      <c r="C14" s="24" t="s">
        <v>94</v>
      </c>
      <c r="D14" s="44">
        <v>89680000</v>
      </c>
      <c r="E14" s="46"/>
      <c r="F14" s="45"/>
      <c r="G14" s="45"/>
      <c r="H14" s="45"/>
      <c r="I14" s="45"/>
      <c r="J14" s="46" t="s">
        <v>99</v>
      </c>
      <c r="K14" s="46" t="s">
        <v>103</v>
      </c>
      <c r="L14" s="46" t="s">
        <v>100</v>
      </c>
      <c r="M14" s="33" t="s">
        <v>107</v>
      </c>
      <c r="N14" s="46" t="s">
        <v>110</v>
      </c>
      <c r="O14" s="46" t="s">
        <v>104</v>
      </c>
      <c r="P14" s="47"/>
      <c r="Q14" s="47"/>
      <c r="R14" s="47"/>
      <c r="S14" s="47"/>
      <c r="T14" s="48">
        <f>U14-15</f>
        <v>46359</v>
      </c>
      <c r="U14" s="48">
        <f t="shared" si="0"/>
        <v>46374</v>
      </c>
      <c r="V14" s="48">
        <f>W14-11</f>
        <v>46395</v>
      </c>
      <c r="W14" s="48">
        <f t="shared" si="1"/>
        <v>46406</v>
      </c>
      <c r="X14" s="49">
        <v>46416</v>
      </c>
      <c r="Y14" s="48">
        <f>X14+61</f>
        <v>46477</v>
      </c>
    </row>
    <row r="15" spans="1:26" ht="21.75" customHeight="1" x14ac:dyDescent="0.25">
      <c r="A15" s="43">
        <v>5</v>
      </c>
      <c r="B15" s="34" t="s">
        <v>150</v>
      </c>
      <c r="C15" s="24" t="s">
        <v>94</v>
      </c>
      <c r="D15" s="44">
        <v>80000000</v>
      </c>
      <c r="E15" s="50"/>
      <c r="F15" s="45"/>
      <c r="G15" s="45"/>
      <c r="H15" s="45"/>
      <c r="I15" s="45"/>
      <c r="J15" s="46" t="s">
        <v>99</v>
      </c>
      <c r="K15" s="46" t="s">
        <v>103</v>
      </c>
      <c r="L15" s="46" t="s">
        <v>100</v>
      </c>
      <c r="M15" s="33" t="s">
        <v>107</v>
      </c>
      <c r="N15" s="46" t="s">
        <v>110</v>
      </c>
      <c r="O15" s="46" t="s">
        <v>104</v>
      </c>
      <c r="P15" s="51"/>
      <c r="Q15" s="51"/>
      <c r="R15" s="51"/>
      <c r="S15" s="51"/>
      <c r="T15" s="48">
        <f>U15-17</f>
        <v>46297</v>
      </c>
      <c r="U15" s="48">
        <f t="shared" si="0"/>
        <v>46314</v>
      </c>
      <c r="V15" s="48">
        <f>W15-11</f>
        <v>46335</v>
      </c>
      <c r="W15" s="48">
        <f t="shared" si="1"/>
        <v>46346</v>
      </c>
      <c r="X15" s="49">
        <v>46356</v>
      </c>
      <c r="Y15" s="48">
        <f>X15+60</f>
        <v>46416</v>
      </c>
    </row>
    <row r="16" spans="1:26" ht="31.5" x14ac:dyDescent="0.25">
      <c r="A16" s="43">
        <v>6</v>
      </c>
      <c r="B16" s="34" t="s">
        <v>151</v>
      </c>
      <c r="C16" s="24" t="s">
        <v>94</v>
      </c>
      <c r="D16" s="44">
        <v>50000000</v>
      </c>
      <c r="E16" s="46"/>
      <c r="F16" s="45"/>
      <c r="G16" s="45"/>
      <c r="H16" s="45"/>
      <c r="I16" s="45"/>
      <c r="J16" s="46" t="s">
        <v>99</v>
      </c>
      <c r="K16" s="46" t="s">
        <v>103</v>
      </c>
      <c r="L16" s="46" t="s">
        <v>100</v>
      </c>
      <c r="M16" s="33" t="s">
        <v>107</v>
      </c>
      <c r="N16" s="46" t="s">
        <v>110</v>
      </c>
      <c r="O16" s="46" t="s">
        <v>104</v>
      </c>
      <c r="P16" s="47"/>
      <c r="Q16" s="47"/>
      <c r="R16" s="47"/>
      <c r="S16" s="47"/>
      <c r="T16" s="48">
        <f>U16-15</f>
        <v>46359</v>
      </c>
      <c r="U16" s="48">
        <f t="shared" si="0"/>
        <v>46374</v>
      </c>
      <c r="V16" s="48">
        <f>W16-11</f>
        <v>46395</v>
      </c>
      <c r="W16" s="48">
        <f t="shared" si="1"/>
        <v>46406</v>
      </c>
      <c r="X16" s="49">
        <v>46416</v>
      </c>
      <c r="Y16" s="48">
        <f>X16+61</f>
        <v>46477</v>
      </c>
    </row>
    <row r="17" spans="1:25" ht="16.5" x14ac:dyDescent="0.3">
      <c r="A17" s="43">
        <v>7</v>
      </c>
      <c r="B17" s="25" t="s">
        <v>158</v>
      </c>
      <c r="C17" s="35" t="s">
        <v>94</v>
      </c>
      <c r="D17" s="32">
        <v>30000000</v>
      </c>
      <c r="E17" s="46"/>
      <c r="F17" s="45"/>
      <c r="G17" s="45"/>
      <c r="H17" s="45"/>
      <c r="I17" s="45"/>
      <c r="J17" s="46" t="s">
        <v>99</v>
      </c>
      <c r="K17" s="46" t="s">
        <v>103</v>
      </c>
      <c r="L17" s="53" t="s">
        <v>100</v>
      </c>
      <c r="M17" s="33" t="s">
        <v>106</v>
      </c>
      <c r="N17" s="46" t="s">
        <v>109</v>
      </c>
      <c r="O17" s="54" t="s">
        <v>104</v>
      </c>
      <c r="P17" s="56"/>
      <c r="Q17" s="47"/>
      <c r="R17" s="47"/>
      <c r="S17" s="47"/>
      <c r="T17" s="48">
        <f>U17-15</f>
        <v>46360</v>
      </c>
      <c r="U17" s="48">
        <f t="shared" ref="U17" si="2">V17-21</f>
        <v>46375</v>
      </c>
      <c r="V17" s="48">
        <f>W17-11</f>
        <v>46396</v>
      </c>
      <c r="W17" s="48">
        <f t="shared" ref="W17" si="3">X17-10</f>
        <v>46407</v>
      </c>
      <c r="X17" s="49">
        <v>46417</v>
      </c>
      <c r="Y17" s="48">
        <f>X17+61</f>
        <v>46478</v>
      </c>
    </row>
    <row r="18" spans="1:25" ht="17.25" thickBot="1" x14ac:dyDescent="0.35">
      <c r="A18" s="52"/>
      <c r="B18" s="74"/>
      <c r="C18" s="75"/>
      <c r="D18" s="101">
        <f>SUBTOTAL(109,D11:D17)</f>
        <v>867958400</v>
      </c>
      <c r="E18" s="76"/>
      <c r="F18" s="77"/>
      <c r="G18" s="77"/>
      <c r="H18" s="77"/>
      <c r="I18" s="77"/>
      <c r="J18" s="78"/>
      <c r="K18" s="78"/>
      <c r="L18" s="72"/>
      <c r="M18" s="71"/>
      <c r="N18" s="78"/>
      <c r="O18" s="79"/>
      <c r="P18" s="73"/>
      <c r="Q18" s="73"/>
      <c r="R18" s="73"/>
      <c r="S18" s="80"/>
      <c r="T18" s="80"/>
      <c r="U18" s="81"/>
      <c r="V18" s="80"/>
      <c r="W18" s="81"/>
      <c r="X18" s="80"/>
      <c r="Y18" s="82"/>
    </row>
    <row r="19" spans="1:25" ht="17.25" thickTop="1" x14ac:dyDescent="0.3">
      <c r="A19" s="57"/>
      <c r="B19" s="125" t="s">
        <v>10</v>
      </c>
      <c r="C19" s="58"/>
      <c r="D19" s="59" t="s">
        <v>7</v>
      </c>
      <c r="E19" s="60"/>
      <c r="F19" s="60"/>
      <c r="G19" s="60"/>
      <c r="H19" s="60"/>
      <c r="I19" s="60"/>
      <c r="J19" s="135"/>
      <c r="K19" s="114"/>
      <c r="L19" s="114"/>
      <c r="M19" s="114"/>
      <c r="N19" s="114"/>
      <c r="O19" s="115"/>
      <c r="P19" s="136" t="s">
        <v>9</v>
      </c>
      <c r="Q19" s="61" t="s">
        <v>6</v>
      </c>
      <c r="R19" s="114"/>
      <c r="S19" s="114"/>
      <c r="T19" s="114"/>
      <c r="U19" s="114"/>
      <c r="V19" s="114"/>
      <c r="W19" s="114"/>
      <c r="X19" s="114"/>
      <c r="Y19" s="115"/>
    </row>
    <row r="20" spans="1:25" ht="16.5" x14ac:dyDescent="0.3">
      <c r="A20" s="62"/>
      <c r="B20" s="126"/>
      <c r="C20" s="63"/>
      <c r="D20" s="25" t="s">
        <v>8</v>
      </c>
      <c r="E20" s="64"/>
      <c r="F20" s="64"/>
      <c r="G20" s="64"/>
      <c r="H20" s="64"/>
      <c r="I20" s="64"/>
      <c r="J20" s="132"/>
      <c r="K20" s="102"/>
      <c r="L20" s="102"/>
      <c r="M20" s="102"/>
      <c r="N20" s="102"/>
      <c r="O20" s="103"/>
      <c r="P20" s="137"/>
      <c r="Q20" s="65" t="s">
        <v>8</v>
      </c>
      <c r="R20" s="102"/>
      <c r="S20" s="102"/>
      <c r="T20" s="102"/>
      <c r="U20" s="102"/>
      <c r="V20" s="102"/>
      <c r="W20" s="102"/>
      <c r="X20" s="102"/>
      <c r="Y20" s="103"/>
    </row>
    <row r="21" spans="1:25" ht="16.5" x14ac:dyDescent="0.3">
      <c r="A21" s="62"/>
      <c r="B21" s="126"/>
      <c r="C21" s="63"/>
      <c r="D21" s="25" t="s">
        <v>5</v>
      </c>
      <c r="E21" s="64"/>
      <c r="F21" s="64"/>
      <c r="G21" s="64"/>
      <c r="H21" s="64"/>
      <c r="I21" s="64"/>
      <c r="J21" s="132"/>
      <c r="K21" s="102"/>
      <c r="L21" s="102"/>
      <c r="M21" s="102"/>
      <c r="N21" s="102"/>
      <c r="O21" s="103"/>
      <c r="P21" s="137"/>
      <c r="Q21" s="65" t="s">
        <v>5</v>
      </c>
      <c r="R21" s="102"/>
      <c r="S21" s="102"/>
      <c r="T21" s="102"/>
      <c r="U21" s="102"/>
      <c r="V21" s="102"/>
      <c r="W21" s="102"/>
      <c r="X21" s="102"/>
      <c r="Y21" s="103"/>
    </row>
    <row r="22" spans="1:25" ht="17.25" thickBot="1" x14ac:dyDescent="0.35">
      <c r="A22" s="66"/>
      <c r="B22" s="127"/>
      <c r="C22" s="67"/>
      <c r="D22" s="68" t="s">
        <v>4</v>
      </c>
      <c r="E22" s="69"/>
      <c r="F22" s="69"/>
      <c r="G22" s="69"/>
      <c r="H22" s="69"/>
      <c r="I22" s="69"/>
      <c r="J22" s="128"/>
      <c r="K22" s="116"/>
      <c r="L22" s="116"/>
      <c r="M22" s="116"/>
      <c r="N22" s="116"/>
      <c r="O22" s="117"/>
      <c r="P22" s="138"/>
      <c r="Q22" s="70" t="s">
        <v>4</v>
      </c>
      <c r="R22" s="116"/>
      <c r="S22" s="116"/>
      <c r="T22" s="116"/>
      <c r="U22" s="116"/>
      <c r="V22" s="116"/>
      <c r="W22" s="116"/>
      <c r="X22" s="116"/>
      <c r="Y22" s="117"/>
    </row>
    <row r="23" spans="1:25" ht="16.5" thickTop="1" x14ac:dyDescent="0.25"/>
  </sheetData>
  <mergeCells count="28">
    <mergeCell ref="A2:Y3"/>
    <mergeCell ref="A4:V4"/>
    <mergeCell ref="A6:W6"/>
    <mergeCell ref="Y8:Y9"/>
    <mergeCell ref="D7:Q7"/>
    <mergeCell ref="A8:A9"/>
    <mergeCell ref="B8:B9"/>
    <mergeCell ref="D8:D9"/>
    <mergeCell ref="J8:J9"/>
    <mergeCell ref="K8:K9"/>
    <mergeCell ref="O8:O9"/>
    <mergeCell ref="L8:L9"/>
    <mergeCell ref="B19:B22"/>
    <mergeCell ref="J22:O22"/>
    <mergeCell ref="P8:S8"/>
    <mergeCell ref="J21:O21"/>
    <mergeCell ref="J20:O20"/>
    <mergeCell ref="M8:M9"/>
    <mergeCell ref="E8:I8"/>
    <mergeCell ref="R19:Y19"/>
    <mergeCell ref="J19:O19"/>
    <mergeCell ref="P19:P22"/>
    <mergeCell ref="R22:Y22"/>
    <mergeCell ref="C8:C9"/>
    <mergeCell ref="R21:Y21"/>
    <mergeCell ref="T8:X8"/>
    <mergeCell ref="N8:N9"/>
    <mergeCell ref="R20:Y20"/>
  </mergeCells>
  <dataValidations xWindow="1197" yWindow="678" count="26">
    <dataValidation type="list" allowBlank="1" showInputMessage="1" showErrorMessage="1" sqref="N7 M19:N65486 M1:N1 M5:N5 M7:M10" xr:uid="{F6390C98-3FEF-D34E-A049-6142182D563D}">
      <formula1>"Yes, No"</formula1>
    </dataValidation>
    <dataValidation type="list" allowBlank="1" showInputMessage="1" showErrorMessage="1" sqref="N8:N10" xr:uid="{90C8DE56-EEB6-8D49-BBD7-4DDBE870DFD4}">
      <formula1>"Local Providers, Special Interest Groups,N/A"</formula1>
    </dataValidation>
    <dataValidation allowBlank="1" showInputMessage="1" showErrorMessage="1" promptTitle="Invitation of Expressions of Int" prompt="Enter the Invitation of Expressions of Interest date in correct date format" sqref="P11" xr:uid="{1BD3D33D-6526-B44A-91A0-133B1B732E4A}"/>
    <dataValidation type="textLength" operator="greaterThan" showInputMessage="1" showErrorMessage="1" errorTitle="Serial Number (S/No)" error="Serial Number is required" promptTitle="Serial Number (S/No)" prompt="Enter Serial Number" sqref="A11:A18" xr:uid="{6E97A5BA-55F9-C04D-80B6-51A02054E1B7}">
      <formula1>0</formula1>
    </dataValidation>
    <dataValidation type="list" showInputMessage="1" showErrorMessage="1" errorTitle="Procurement Type" error="Select the Procurement Type from the list" promptTitle="Procurement Type" prompt="Select the Procurement Type from the list" sqref="L11:L17" xr:uid="{AC973057-3ED4-074B-9135-736767FFD810}">
      <formula1>"Consultancy Services"</formula1>
    </dataValidation>
    <dataValidation type="list" showInputMessage="1" showErrorMessage="1" errorTitle="Currency" error="Currency is required" promptTitle="Currency" prompt="Select a currency" sqref="C11:C17" xr:uid="{152D4CF8-958D-0F4B-B331-7E26B1386E54}">
      <formula1>"UGX,USD,RWF,EUR,GBP,CAD,KES,TZS"</formula1>
    </dataValidation>
    <dataValidation type="list" showInputMessage="1" showErrorMessage="1" errorTitle="Procurement Method" error="Select the Procurement Method from the list" promptTitle="Procurement Method" prompt="Select the Procurement Method from the list" sqref="K11:K17" xr:uid="{16792A09-BFB8-AA48-9630-65688D41BF3F}">
      <formula1>"Direct Procurement, Micro Procurement, Open Domestic Bidding, Open International Bidding(OIB), Quotations Method, Restricted Domestic Bidding (RDB), Restricted International Bidding (RIB),"</formula1>
    </dataValidation>
    <dataValidation type="list" showInputMessage="1" showErrorMessage="1" errorTitle="Source of Funding" error="Select the Source of Funding from the List" promptTitle="Source of Funding" prompt="Select the Source of Funding from the list" sqref="J11:J17" xr:uid="{18267F51-6E12-D64D-9C75-AB54DB5A8FAE}">
      <formula1>"Government Of Uganda, Donor, GOU and Donor, Internally Generated Funds"</formula1>
    </dataValidation>
    <dataValidation type="list" showInputMessage="1" showErrorMessage="1" errorTitle="Contract Type" error="Select an option from the list" promptTitle="Contract Type" prompt="Select an option from the list" sqref="O11:O17" xr:uid="{E0FA3E9B-68F6-C64F-949D-5A124BC47EDC}">
      <formula1>"Lumpsum Contracts, Time-based Contracts, Ad Measurement Contracts, Framework Contracts, Percentage Based Contract, Target Price Contract, Retainer Contract, Success Fee Contract"</formula1>
    </dataValidation>
    <dataValidation type="textLength" operator="greaterThan" showInputMessage="1" showErrorMessage="1" errorTitle="Subject of Procurement" error="A descriptive Subject of Procurement is required" promptTitle="Subject of Procurement" prompt="Enter Subject of Procurement" sqref="B11:B17" xr:uid="{1A60C45B-C7D6-104A-8E36-BDFEB575B00D}">
      <formula1>5</formula1>
    </dataValidation>
    <dataValidation type="decimal" operator="greaterThan" showInputMessage="1" showErrorMessage="1" errorTitle="Estimated Amount" error="The Estimated Amount should be greater than 100" promptTitle="Estimated Amount" prompt="Enter the Estimated Amount" sqref="D11:D17" xr:uid="{3FFCB670-3C9B-744D-9454-3A42A83890AD}">
      <formula1>100</formula1>
    </dataValidation>
    <dataValidation type="decimal" errorStyle="information" operator="greaterThan" showInputMessage="1" showErrorMessage="1" errorTitle="Current year's estimated cost" error="The current year's estimated cost is required and should be greater than 100." promptTitle="Current year's estimated cost" prompt="Enter the Current year's estimated cost" sqref="E11:E17" xr:uid="{0E805833-3A66-1540-993C-C84EF7B9EEC8}">
      <formula1>100</formula1>
    </dataValidation>
    <dataValidation type="whole" errorStyle="information" operator="greaterThan" showInputMessage="1" showErrorMessage="1" errorTitle="Project Completion Time in years" error="Enter Project Completion Time in Years" promptTitle="Project Completion time in years" prompt="Enter the Project Completion time in years" sqref="F11:F17" xr:uid="{9EE7C620-0C19-2142-B9BF-CCA1045E0E8D}">
      <formula1>0</formula1>
    </dataValidation>
    <dataValidation type="decimal" errorStyle="information" operator="greaterThan" showInputMessage="1" showErrorMessage="1" errorTitle="Paid up sum" promptTitle="Paid Sum" prompt="Enter the Paid up sum" sqref="G11:G17" xr:uid="{37CEF357-382C-6C45-AFC3-53CCA9D94517}">
      <formula1>0</formula1>
    </dataValidation>
    <dataValidation type="whole" errorStyle="information" operator="greaterThan" showInputMessage="1" showErrorMessage="1" errorTitle="Pending Sum" error="Enter the Pending Sum" promptTitle="Pending Sum" prompt="Enter the Pending Sum" sqref="H11:H17" xr:uid="{29EDB14A-F4EB-FC49-89A3-85C7E86539E5}">
      <formula1>-1</formula1>
    </dataValidation>
    <dataValidation type="whole" errorStyle="information" operator="greaterThan" showInputMessage="1" showErrorMessage="1" errorTitle="Pending time to completion" error="Enter the Pending time to completion" promptTitle="Pending time to completion" prompt="Enter the Pending time to completion" sqref="I11:I17" xr:uid="{B8758FDC-B1E4-FA4E-AB8C-C3D084F7B903}">
      <formula1>-1</formula1>
    </dataValidation>
    <dataValidation type="list" showInputMessage="1" showErrorMessage="1" errorTitle="Apply Reservation Scheme" error="Select an option from the list" promptTitle="Apply Reservation Scheme" prompt="Select an option from the list" sqref="M11:M17" xr:uid="{215C2D94-9D1D-5547-944A-689CBF6EC136}">
      <formula1>"Yes, No"</formula1>
    </dataValidation>
    <dataValidation type="list" showInputMessage="1" showErrorMessage="1" errorTitle="Reservation Scheme" error="Select an option from the list" promptTitle="Reservation Scheme" prompt="Select an option from the list" sqref="N11:N17" xr:uid="{06B27171-642C-D743-A6B1-196FA75C63A5}">
      <formula1>"Local Providers, Special Interest Groups,N/A"</formula1>
    </dataValidation>
    <dataValidation allowBlank="1" showInputMessage="1" showErrorMessage="1" promptTitle="Closing-Opening date" prompt="Enter the Closing-Opening date in correct format" sqref="Q11:Q17" xr:uid="{02E6708E-3D67-4C46-9C19-A75B1AEB5FF6}"/>
    <dataValidation allowBlank="1" showInputMessage="1" showErrorMessage="1" promptTitle="Approval of shortlist" prompt="Enter Approval of shortlist in correct date format" sqref="R11:R17" xr:uid="{B8B8871A-91C8-5B4E-9798-0D76C2B6A33E}"/>
    <dataValidation allowBlank="1" showInputMessage="1" showErrorMessage="1" promptTitle="Notification date" prompt="Enter the Notification date in correct date format" sqref="S11:S17 W11:W17" xr:uid="{6599EA0E-7BA3-DB44-8BFF-F9B92D2A530D}"/>
    <dataValidation allowBlank="1" showInputMessage="1" showErrorMessage="1" promptTitle="Invitation of proposals   date  " prompt="Enter the Invitation of proposals date in the correct date format" sqref="T11:T17" xr:uid="{78B3A60D-957C-D24F-9218-A6C4A9D63337}"/>
    <dataValidation allowBlank="1" showInputMessage="1" showErrorMessage="1" promptTitle="Submission/  opening  date" prompt="Enter the Submission/opening date in correct date format" sqref="U11:U17" xr:uid="{BCAE4B24-76D7-3646-9052-6151DADB64F5}"/>
    <dataValidation allowBlank="1" showInputMessage="1" showErrorMessage="1" promptTitle="Approval of final evaluation rep" prompt="Enter the Approval of final evaluation report in correct date format" sqref="V11:V17" xr:uid="{90A333BD-DA38-2C43-81B8-C0773594A92A}"/>
    <dataValidation allowBlank="1" showInputMessage="1" showErrorMessage="1" promptTitle="Contract signing date" prompt="Enter the Contract signing date in correct date format" sqref="X11:X17" xr:uid="{B7394C75-287F-4D44-9EE1-D679B6FB1D52}"/>
    <dataValidation allowBlank="1" showInputMessage="1" showErrorMessage="1" promptTitle="Completion date" prompt="Enter the Completion date in correct date format" sqref="Y11:Y17" xr:uid="{67B74BB2-64EA-114B-BCA8-1ECFB6F100E7}"/>
  </dataValidations>
  <printOptions gridLines="1"/>
  <pageMargins left="0.78740157480314965" right="0.19685039370078741" top="0.74803149606299213" bottom="0.74803149606299213" header="0.31496062992125984" footer="0.31496062992125984"/>
  <pageSetup scale="60" fitToHeight="0" orientation="landscape" blackAndWhite="1" r:id="rId1"/>
  <ignoredErrors>
    <ignoredError sqref="E14:G16 A18 E11:G12" listDataValidation="1"/>
    <ignoredError sqref="D18" unlockedFormula="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E7FD-377D-B148-A277-DAC1BB0040EA}">
  <dimension ref="B3:M29"/>
  <sheetViews>
    <sheetView zoomScale="122" workbookViewId="0">
      <selection activeCell="B25" sqref="B25"/>
    </sheetView>
  </sheetViews>
  <sheetFormatPr defaultColWidth="8.85546875" defaultRowHeight="15" x14ac:dyDescent="0.25"/>
  <cols>
    <col min="1" max="1" width="8.85546875" style="1"/>
    <col min="2" max="2" width="89" style="1" customWidth="1"/>
    <col min="3" max="16384" width="8.85546875" style="1"/>
  </cols>
  <sheetData>
    <row r="3" spans="2:13" x14ac:dyDescent="0.25">
      <c r="B3" s="2" t="s">
        <v>46</v>
      </c>
    </row>
    <row r="4" spans="2:13" x14ac:dyDescent="0.25">
      <c r="B4" s="3" t="s">
        <v>50</v>
      </c>
    </row>
    <row r="5" spans="2:13" x14ac:dyDescent="0.25">
      <c r="B5" s="3" t="s">
        <v>51</v>
      </c>
    </row>
    <row r="6" spans="2:13" x14ac:dyDescent="0.25">
      <c r="B6" s="3" t="s">
        <v>52</v>
      </c>
    </row>
    <row r="7" spans="2:13" x14ac:dyDescent="0.25">
      <c r="B7" s="3" t="s">
        <v>63</v>
      </c>
    </row>
    <row r="8" spans="2:13" x14ac:dyDescent="0.25">
      <c r="B8" s="3" t="s">
        <v>53</v>
      </c>
    </row>
    <row r="9" spans="2:13" x14ac:dyDescent="0.25">
      <c r="B9" s="3" t="s">
        <v>54</v>
      </c>
    </row>
    <row r="10" spans="2:13" x14ac:dyDescent="0.25">
      <c r="B10" s="3" t="s">
        <v>60</v>
      </c>
    </row>
    <row r="11" spans="2:13" x14ac:dyDescent="0.25">
      <c r="B11" s="6"/>
    </row>
    <row r="12" spans="2:13" x14ac:dyDescent="0.25">
      <c r="B12" s="2" t="s">
        <v>47</v>
      </c>
    </row>
    <row r="13" spans="2:13" ht="45" x14ac:dyDescent="0.25">
      <c r="B13" s="4" t="s">
        <v>65</v>
      </c>
      <c r="C13" s="7"/>
      <c r="D13" s="7"/>
      <c r="E13" s="7"/>
      <c r="F13" s="7"/>
      <c r="G13" s="7"/>
      <c r="H13" s="7"/>
      <c r="I13" s="7"/>
      <c r="J13" s="7"/>
      <c r="K13" s="7"/>
      <c r="L13" s="7"/>
      <c r="M13" s="7"/>
    </row>
    <row r="14" spans="2:13" x14ac:dyDescent="0.25">
      <c r="B14" s="6"/>
    </row>
    <row r="15" spans="2:13" x14ac:dyDescent="0.25">
      <c r="B15" s="2" t="s">
        <v>55</v>
      </c>
    </row>
    <row r="16" spans="2:13" x14ac:dyDescent="0.25">
      <c r="B16" s="3" t="s">
        <v>48</v>
      </c>
    </row>
    <row r="17" spans="2:2" x14ac:dyDescent="0.25">
      <c r="B17" s="6"/>
    </row>
    <row r="18" spans="2:2" x14ac:dyDescent="0.25">
      <c r="B18" s="2" t="s">
        <v>56</v>
      </c>
    </row>
    <row r="19" spans="2:2" ht="60" x14ac:dyDescent="0.25">
      <c r="B19" s="4" t="s">
        <v>62</v>
      </c>
    </row>
    <row r="20" spans="2:2" x14ac:dyDescent="0.25">
      <c r="B20" s="6"/>
    </row>
    <row r="21" spans="2:2" x14ac:dyDescent="0.25">
      <c r="B21" s="2" t="s">
        <v>57</v>
      </c>
    </row>
    <row r="22" spans="2:2" ht="30" x14ac:dyDescent="0.25">
      <c r="B22" s="4" t="s">
        <v>66</v>
      </c>
    </row>
    <row r="23" spans="2:2" x14ac:dyDescent="0.25">
      <c r="B23" s="6"/>
    </row>
    <row r="24" spans="2:2" x14ac:dyDescent="0.25">
      <c r="B24" s="2" t="s">
        <v>64</v>
      </c>
    </row>
    <row r="25" spans="2:2" x14ac:dyDescent="0.25">
      <c r="B25" s="3" t="s">
        <v>49</v>
      </c>
    </row>
    <row r="26" spans="2:2" x14ac:dyDescent="0.25">
      <c r="B26" s="6"/>
    </row>
    <row r="27" spans="2:2" x14ac:dyDescent="0.25">
      <c r="B27" s="3" t="s">
        <v>61</v>
      </c>
    </row>
    <row r="28" spans="2:2" x14ac:dyDescent="0.25">
      <c r="B28" s="5" t="s">
        <v>58</v>
      </c>
    </row>
    <row r="29" spans="2:2" x14ac:dyDescent="0.25">
      <c r="B29" s="6" t="s">
        <v>59</v>
      </c>
    </row>
  </sheetData>
  <hyperlinks>
    <hyperlink ref="B28" r:id="rId1" xr:uid="{BEBF24DC-86A9-894A-BE38-3AA0653DB938}"/>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cf03740-f366-4bfc-95c1-e7d03aee2089" xsi:nil="true"/>
    <_ip_UnifiedCompliancePolicyProperties xmlns="http://schemas.microsoft.com/sharepoint/v3" xsi:nil="true"/>
    <lcf76f155ced4ddcb4097134ff3c332f xmlns="789adb6a-4439-4dc8-9ead-61e7b63006e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F3FF48C2982D429EB6FD03DBD97015" ma:contentTypeVersion="19" ma:contentTypeDescription="Create a new document." ma:contentTypeScope="" ma:versionID="5f7f5e27c17d7a0dce297c761ab3d82b">
  <xsd:schema xmlns:xsd="http://www.w3.org/2001/XMLSchema" xmlns:xs="http://www.w3.org/2001/XMLSchema" xmlns:p="http://schemas.microsoft.com/office/2006/metadata/properties" xmlns:ns1="http://schemas.microsoft.com/sharepoint/v3" xmlns:ns2="789adb6a-4439-4dc8-9ead-61e7b63006e7" xmlns:ns3="6cf03740-f366-4bfc-95c1-e7d03aee2089" targetNamespace="http://schemas.microsoft.com/office/2006/metadata/properties" ma:root="true" ma:fieldsID="cb9642d40a3d6832201819c7d4e0ce3d" ns1:_="" ns2:_="" ns3:_="">
    <xsd:import namespace="http://schemas.microsoft.com/sharepoint/v3"/>
    <xsd:import namespace="789adb6a-4439-4dc8-9ead-61e7b63006e7"/>
    <xsd:import namespace="6cf03740-f366-4bfc-95c1-e7d03aee20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adb6a-4439-4dc8-9ead-61e7b6300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531c9e-4239-4ce5-8d24-7af51a9d40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f03740-f366-4bfc-95c1-e7d03aee208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f66ce30-56f7-4330-9b15-cfeb7c85d61e}" ma:internalName="TaxCatchAll" ma:showField="CatchAllData" ma:web="6cf03740-f366-4bfc-95c1-e7d03aee20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FA379F-072E-4C50-B5A8-3290C2E2C99F}">
  <ds:schemaRefs>
    <ds:schemaRef ds:uri="http://schemas.microsoft.com/office/2006/metadata/properties"/>
    <ds:schemaRef ds:uri="http://schemas.microsoft.com/office/infopath/2007/PartnerControls"/>
    <ds:schemaRef ds:uri="http://schemas.microsoft.com/sharepoint/v3"/>
    <ds:schemaRef ds:uri="6cf03740-f366-4bfc-95c1-e7d03aee2089"/>
    <ds:schemaRef ds:uri="789adb6a-4439-4dc8-9ead-61e7b63006e7"/>
  </ds:schemaRefs>
</ds:datastoreItem>
</file>

<file path=customXml/itemProps2.xml><?xml version="1.0" encoding="utf-8"?>
<ds:datastoreItem xmlns:ds="http://schemas.openxmlformats.org/officeDocument/2006/customXml" ds:itemID="{9F2CA9C5-DC43-4740-BC52-9689F3240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9adb6a-4439-4dc8-9ead-61e7b63006e7"/>
    <ds:schemaRef ds:uri="6cf03740-f366-4bfc-95c1-e7d03aee2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C4A3D9-669E-4FD7-9CE6-88778F2FF7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SUPS-WRKS-NCONS</vt:lpstr>
      <vt:lpstr>Consultancy</vt:lpstr>
      <vt:lpstr>User guiding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usegawa</dc:creator>
  <cp:lastModifiedBy>Emily Mbabazi</cp:lastModifiedBy>
  <cp:lastPrinted>2026-07-21T09:21:55Z</cp:lastPrinted>
  <dcterms:created xsi:type="dcterms:W3CDTF">2011-05-30T07:41:56Z</dcterms:created>
  <dcterms:modified xsi:type="dcterms:W3CDTF">2026-07-22T08:47:35Z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0x01010089F3FF48C2982D429EB6FD03DBD97015</vt:lpwstr>
  </property>
  <property fmtid="{D5CDD505-2E9C-101B-9397-08002B2CF9AE}" pid="3" name="MediaServiceImageTags">
    <vt:lpwstr/>
  </property>
  <property fmtid="{D5CDD505-2E9C-101B-9397-08002B2CF9AE}" pid="4" name="_AdHocReviewCycleID">
    <vt:i4>-1229958347</vt:i4>
  </property>
  <property fmtid="{D5CDD505-2E9C-101B-9397-08002B2CF9AE}" pid="5" name="_NewReviewCycle">
    <vt:lpwstr/>
  </property>
  <property fmtid="{D5CDD505-2E9C-101B-9397-08002B2CF9AE}" pid="6" name="_EmailSubject">
    <vt:lpwstr>APPROVED PROCUREMENT PLAN FOR FY2026-27</vt:lpwstr>
  </property>
  <property fmtid="{D5CDD505-2E9C-101B-9397-08002B2CF9AE}" pid="7" name="_AuthorEmail">
    <vt:lpwstr>emily.mbabazi@dpf.or.ug</vt:lpwstr>
  </property>
  <property fmtid="{D5CDD505-2E9C-101B-9397-08002B2CF9AE}" pid="8" name="_AuthorEmailDisplayName">
    <vt:lpwstr>Emily Mbabazi</vt:lpwstr>
  </property>
</Properties>
</file>